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 Assignments\6. Ashiwini Mittal Sir- Nabcons\14. Dal Mill\With subsidy\"/>
    </mc:Choice>
  </mc:AlternateContent>
  <xr:revisionPtr revIDLastSave="0" documentId="13_ncr:1_{3A950ABA-78DB-49DE-9DB7-ED66A063F1F0}"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4" l="1"/>
  <c r="D5" i="14"/>
  <c r="C15" i="1" l="1"/>
  <c r="E4" i="3" s="1"/>
  <c r="E10" i="9"/>
  <c r="E9" i="9"/>
  <c r="D23" i="7"/>
  <c r="E23" i="7"/>
  <c r="F23" i="7"/>
  <c r="G23" i="7"/>
  <c r="H23" i="7"/>
  <c r="I23" i="7"/>
  <c r="J23" i="7"/>
  <c r="K23" i="7"/>
  <c r="C23" i="7"/>
  <c r="B11" i="19"/>
  <c r="C7" i="2"/>
  <c r="B4" i="18" s="1"/>
  <c r="B8" i="18" l="1"/>
  <c r="C21" i="11"/>
  <c r="E8" i="9"/>
  <c r="E17" i="3"/>
  <c r="C19" i="11"/>
  <c r="C23" i="11" s="1"/>
  <c r="C35" i="1"/>
  <c r="D5" i="22"/>
  <c r="E4" i="22"/>
  <c r="E5" i="22" s="1"/>
  <c r="C29" i="4"/>
  <c r="B13" i="18" s="1"/>
  <c r="C41" i="4"/>
  <c r="C8" i="4" s="1"/>
  <c r="E17" i="9"/>
  <c r="E8" i="10"/>
  <c r="E6" i="10"/>
  <c r="F5" i="19" l="1"/>
  <c r="E12" i="10"/>
  <c r="E13" i="10" s="1"/>
  <c r="F4" i="22"/>
  <c r="G4" i="22" s="1"/>
  <c r="H4" i="22" s="1"/>
  <c r="B5" i="19"/>
  <c r="B7" i="19" s="1"/>
  <c r="C5" i="19"/>
  <c r="D5" i="19"/>
  <c r="J5" i="19"/>
  <c r="I5" i="19"/>
  <c r="E5" i="19"/>
  <c r="H5" i="19"/>
  <c r="G5" i="19"/>
  <c r="C23" i="1"/>
  <c r="E7" i="9"/>
  <c r="D25" i="4"/>
  <c r="E25" i="4"/>
  <c r="F25" i="4"/>
  <c r="G25" i="4"/>
  <c r="H25" i="4"/>
  <c r="I25" i="4"/>
  <c r="J25" i="4"/>
  <c r="K25" i="4"/>
  <c r="C25" i="4"/>
  <c r="E5" i="3"/>
  <c r="B13" i="23"/>
  <c r="B15" i="23" s="1"/>
  <c r="B17" i="23" s="1"/>
  <c r="B9" i="23"/>
  <c r="J7" i="4" l="1"/>
  <c r="J10" i="4" s="1"/>
  <c r="I7" i="19"/>
  <c r="K7" i="4"/>
  <c r="K10" i="4" s="1"/>
  <c r="J7" i="19"/>
  <c r="E7" i="4"/>
  <c r="E10" i="4" s="1"/>
  <c r="D7" i="19"/>
  <c r="D7" i="4"/>
  <c r="D10" i="4" s="1"/>
  <c r="C7" i="19"/>
  <c r="H7" i="4"/>
  <c r="H10" i="4" s="1"/>
  <c r="G7" i="19"/>
  <c r="I7" i="4"/>
  <c r="I10" i="4" s="1"/>
  <c r="H7" i="19"/>
  <c r="F7" i="4"/>
  <c r="F10" i="4" s="1"/>
  <c r="E7" i="19"/>
  <c r="G7" i="4"/>
  <c r="G10" i="4" s="1"/>
  <c r="F7" i="19"/>
  <c r="F5" i="22"/>
  <c r="G5" i="22"/>
  <c r="B6" i="19"/>
  <c r="B22" i="19" s="1"/>
  <c r="C7" i="4"/>
  <c r="C10" i="4" s="1"/>
  <c r="I21" i="19"/>
  <c r="I6" i="19"/>
  <c r="I22" i="19" s="1"/>
  <c r="J6" i="19"/>
  <c r="J22" i="19" s="1"/>
  <c r="J21" i="19"/>
  <c r="D21" i="19"/>
  <c r="D6" i="19"/>
  <c r="D22" i="19" s="1"/>
  <c r="C21" i="19"/>
  <c r="C6" i="19"/>
  <c r="C22" i="19" s="1"/>
  <c r="G21" i="19"/>
  <c r="G6" i="19"/>
  <c r="G22" i="19" s="1"/>
  <c r="H21" i="19"/>
  <c r="H6" i="19"/>
  <c r="H22" i="19" s="1"/>
  <c r="E6" i="19"/>
  <c r="E22" i="19" s="1"/>
  <c r="E21" i="19"/>
  <c r="F6" i="19"/>
  <c r="F22" i="19" s="1"/>
  <c r="F21" i="19"/>
  <c r="B21" i="19"/>
  <c r="D8" i="11"/>
  <c r="C24" i="11" s="1"/>
  <c r="E14" i="10"/>
  <c r="C9" i="4"/>
  <c r="D9" i="4" s="1"/>
  <c r="E9" i="4" s="1"/>
  <c r="F9" i="4" s="1"/>
  <c r="G9" i="4" s="1"/>
  <c r="H9" i="4" s="1"/>
  <c r="I9" i="4" s="1"/>
  <c r="J9" i="4" s="1"/>
  <c r="K9" i="4" s="1"/>
  <c r="I4" i="22"/>
  <c r="H5" i="22"/>
  <c r="C6" i="10"/>
  <c r="E21" i="3"/>
  <c r="B15" i="19"/>
  <c r="A6" i="21"/>
  <c r="K20" i="4" l="1"/>
  <c r="G20" i="4"/>
  <c r="E15" i="10"/>
  <c r="I5" i="22"/>
  <c r="J4" i="22"/>
  <c r="A13" i="21"/>
  <c r="A11" i="21"/>
  <c r="A10" i="21"/>
  <c r="A9" i="21"/>
  <c r="K47" i="7"/>
  <c r="J47" i="7"/>
  <c r="I34" i="7"/>
  <c r="J34" i="7"/>
  <c r="K34" i="7"/>
  <c r="A14" i="21"/>
  <c r="H20" i="4" l="1"/>
  <c r="I20" i="4"/>
  <c r="E20" i="4"/>
  <c r="G12" i="7"/>
  <c r="D20" i="4"/>
  <c r="J20" i="4"/>
  <c r="F20" i="4"/>
  <c r="C20" i="4"/>
  <c r="B23" i="19"/>
  <c r="C13" i="4" s="1"/>
  <c r="K12" i="7"/>
  <c r="E16" i="10"/>
  <c r="E17" i="10" s="1"/>
  <c r="J5" i="22"/>
  <c r="K4" i="22"/>
  <c r="A16" i="21"/>
  <c r="A15" i="21"/>
  <c r="A12" i="21"/>
  <c r="A8" i="21"/>
  <c r="A7" i="21"/>
  <c r="A5" i="21"/>
  <c r="A4" i="21"/>
  <c r="C24" i="18"/>
  <c r="K24" i="18"/>
  <c r="J24" i="18"/>
  <c r="I24" i="18"/>
  <c r="H24" i="18"/>
  <c r="G24" i="18"/>
  <c r="F24" i="18"/>
  <c r="E24" i="18"/>
  <c r="D24" i="18"/>
  <c r="I12" i="7" l="1"/>
  <c r="H12" i="7"/>
  <c r="E12" i="7"/>
  <c r="F12" i="7"/>
  <c r="D12" i="7"/>
  <c r="J12" i="7"/>
  <c r="C12" i="7"/>
  <c r="C20" i="19"/>
  <c r="E18" i="10"/>
  <c r="E19" i="10" s="1"/>
  <c r="E20" i="10" s="1"/>
  <c r="L4" i="22"/>
  <c r="L5" i="22" s="1"/>
  <c r="K5" i="22"/>
  <c r="I41" i="7"/>
  <c r="J41" i="7"/>
  <c r="K41" i="7"/>
  <c r="C23" i="19" l="1"/>
  <c r="D13" i="4" s="1"/>
  <c r="D12" i="4"/>
  <c r="C13" i="7"/>
  <c r="C19" i="1"/>
  <c r="D40" i="4"/>
  <c r="D20" i="19" l="1"/>
  <c r="D23" i="19" s="1"/>
  <c r="E13" i="4" s="1"/>
  <c r="D13" i="7"/>
  <c r="E12" i="4"/>
  <c r="D41" i="4"/>
  <c r="D8" i="4" s="1"/>
  <c r="E40" i="4"/>
  <c r="F12" i="4" l="1"/>
  <c r="E20" i="19"/>
  <c r="E23" i="19"/>
  <c r="F13" i="4" s="1"/>
  <c r="E13" i="7"/>
  <c r="F20" i="19"/>
  <c r="E41" i="4"/>
  <c r="E8" i="4" s="1"/>
  <c r="F40" i="4"/>
  <c r="F23" i="19" l="1"/>
  <c r="G13" i="4" s="1"/>
  <c r="G12" i="4"/>
  <c r="F13" i="7"/>
  <c r="F41" i="4"/>
  <c r="F8" i="4" s="1"/>
  <c r="G40" i="4"/>
  <c r="G20" i="19" l="1"/>
  <c r="G13" i="7"/>
  <c r="H12" i="4"/>
  <c r="K24" i="7"/>
  <c r="K29" i="7" s="1"/>
  <c r="G41" i="4"/>
  <c r="G8" i="4" s="1"/>
  <c r="C9" i="18"/>
  <c r="E5" i="11"/>
  <c r="D7" i="11" s="1"/>
  <c r="J3" i="20"/>
  <c r="B3" i="20"/>
  <c r="H40" i="4"/>
  <c r="G23" i="19" l="1"/>
  <c r="I24" i="7"/>
  <c r="I29" i="7" s="1"/>
  <c r="G24" i="7"/>
  <c r="G29" i="7" s="1"/>
  <c r="D9" i="18"/>
  <c r="J24" i="7"/>
  <c r="J29" i="7" s="1"/>
  <c r="E9" i="18"/>
  <c r="H24" i="7"/>
  <c r="H29" i="7" s="1"/>
  <c r="C11" i="4"/>
  <c r="C14" i="4" s="1"/>
  <c r="C24" i="7"/>
  <c r="C29" i="7" s="1"/>
  <c r="G11" i="4"/>
  <c r="G14" i="4" s="1"/>
  <c r="H41" i="4"/>
  <c r="H8" i="4" s="1"/>
  <c r="G3" i="20"/>
  <c r="C3" i="20"/>
  <c r="D3" i="20"/>
  <c r="I3" i="20"/>
  <c r="H3" i="20"/>
  <c r="E3" i="20"/>
  <c r="F3" i="20"/>
  <c r="I40" i="4"/>
  <c r="H20" i="19" l="1"/>
  <c r="H13" i="4"/>
  <c r="H23" i="19"/>
  <c r="H11" i="4"/>
  <c r="D11" i="4"/>
  <c r="D14" i="4" s="1"/>
  <c r="D24" i="7"/>
  <c r="D29" i="7" s="1"/>
  <c r="E11" i="4"/>
  <c r="E14" i="4" s="1"/>
  <c r="E24" i="7"/>
  <c r="E29" i="7" s="1"/>
  <c r="F11" i="4"/>
  <c r="F14" i="4" s="1"/>
  <c r="F24" i="7"/>
  <c r="F29" i="7" s="1"/>
  <c r="I41" i="4"/>
  <c r="I8" i="4" s="1"/>
  <c r="J40" i="4"/>
  <c r="J41" i="4" s="1"/>
  <c r="J8" i="4" s="1"/>
  <c r="I20" i="19" l="1"/>
  <c r="I13" i="4"/>
  <c r="I12" i="4"/>
  <c r="H13" i="7"/>
  <c r="I23" i="19"/>
  <c r="H14" i="4"/>
  <c r="I11" i="4"/>
  <c r="K40" i="4"/>
  <c r="J11" i="4"/>
  <c r="C12" i="1"/>
  <c r="J26" i="4"/>
  <c r="K26" i="4"/>
  <c r="K14" i="18" s="1"/>
  <c r="J20" i="19" l="1"/>
  <c r="J13" i="4"/>
  <c r="J12" i="4"/>
  <c r="J14" i="4" s="1"/>
  <c r="I13" i="7"/>
  <c r="J23" i="19"/>
  <c r="I14" i="4"/>
  <c r="K41" i="4"/>
  <c r="K8" i="4" s="1"/>
  <c r="J14" i="18"/>
  <c r="J46" i="7"/>
  <c r="K46" i="7"/>
  <c r="K13" i="4" l="1"/>
  <c r="K13" i="7" s="1"/>
  <c r="K12" i="4"/>
  <c r="J13" i="7"/>
  <c r="K11" i="4"/>
  <c r="K14" i="4" s="1"/>
  <c r="D9" i="11"/>
  <c r="C22" i="11" s="1"/>
  <c r="E9" i="11" l="1"/>
  <c r="E10" i="11" s="1"/>
  <c r="J48" i="7"/>
  <c r="K48" i="7"/>
  <c r="C12" i="10"/>
  <c r="C20" i="1"/>
  <c r="C16" i="1"/>
  <c r="F8" i="10"/>
  <c r="F7" i="10"/>
  <c r="E6" i="9"/>
  <c r="E12" i="9" s="1"/>
  <c r="C9" i="1"/>
  <c r="C41" i="1" l="1"/>
  <c r="C8" i="2" s="1"/>
  <c r="D6" i="10"/>
  <c r="D12" i="10" s="1"/>
  <c r="D13" i="10" s="1"/>
  <c r="D14" i="10" s="1"/>
  <c r="D11" i="18"/>
  <c r="C7" i="15"/>
  <c r="E11" i="18"/>
  <c r="C13" i="10"/>
  <c r="C3" i="15"/>
  <c r="K6" i="12"/>
  <c r="E5" i="12"/>
  <c r="H6" i="12"/>
  <c r="E6" i="12"/>
  <c r="D6" i="12"/>
  <c r="F6" i="12"/>
  <c r="F5" i="12"/>
  <c r="G5" i="12"/>
  <c r="I6" i="12"/>
  <c r="C4" i="2" l="1"/>
  <c r="C18" i="7" s="1"/>
  <c r="B5" i="18" s="1"/>
  <c r="B10" i="13"/>
  <c r="C10" i="7"/>
  <c r="F12" i="10"/>
  <c r="E13" i="11" s="1"/>
  <c r="F6" i="10"/>
  <c r="C30" i="4"/>
  <c r="F13" i="10"/>
  <c r="E13" i="9"/>
  <c r="F3" i="15"/>
  <c r="F11" i="18"/>
  <c r="C14" i="10"/>
  <c r="F14" i="10" s="1"/>
  <c r="C10" i="13"/>
  <c r="D30" i="4"/>
  <c r="D10" i="7"/>
  <c r="E3" i="15"/>
  <c r="D3" i="15"/>
  <c r="H5" i="12"/>
  <c r="J5" i="12"/>
  <c r="C6" i="12"/>
  <c r="J6" i="12"/>
  <c r="D5" i="12"/>
  <c r="I5" i="12"/>
  <c r="C5" i="12"/>
  <c r="G6" i="12"/>
  <c r="K5" i="12"/>
  <c r="D15" i="10"/>
  <c r="D16" i="10" s="1"/>
  <c r="D17" i="10" s="1"/>
  <c r="C6" i="2" l="1"/>
  <c r="D4" i="14" s="1"/>
  <c r="C25" i="11"/>
  <c r="E12" i="11"/>
  <c r="F9" i="10"/>
  <c r="E15" i="9"/>
  <c r="C16" i="4"/>
  <c r="D16" i="4" s="1"/>
  <c r="E16" i="4" s="1"/>
  <c r="F16" i="4" s="1"/>
  <c r="G16" i="4" s="1"/>
  <c r="H16" i="4" s="1"/>
  <c r="I16" i="4" s="1"/>
  <c r="J16" i="4" s="1"/>
  <c r="K16" i="4" s="1"/>
  <c r="G11" i="18"/>
  <c r="E30" i="4"/>
  <c r="E10" i="7"/>
  <c r="D10" i="13"/>
  <c r="C15" i="10"/>
  <c r="D18" i="10"/>
  <c r="B6" i="18" l="1"/>
  <c r="B25" i="18" s="1"/>
  <c r="D12" i="14"/>
  <c r="B7" i="18"/>
  <c r="B27" i="18" s="1"/>
  <c r="B28" i="18" s="1"/>
  <c r="C9" i="7"/>
  <c r="C11" i="7" s="1"/>
  <c r="D9" i="7" s="1"/>
  <c r="D11" i="7" s="1"/>
  <c r="D40" i="7" s="1"/>
  <c r="C17" i="4"/>
  <c r="C10" i="14"/>
  <c r="E10" i="14" s="1"/>
  <c r="C11" i="14"/>
  <c r="E11" i="14" s="1"/>
  <c r="C12" i="14"/>
  <c r="F15" i="10"/>
  <c r="F9" i="18"/>
  <c r="H11" i="18"/>
  <c r="G3" i="15"/>
  <c r="F10" i="7"/>
  <c r="E10" i="13"/>
  <c r="F30" i="4"/>
  <c r="C16" i="10"/>
  <c r="C17" i="10" s="1"/>
  <c r="D19" i="10"/>
  <c r="D20" i="10" s="1"/>
  <c r="D13" i="14" l="1"/>
  <c r="C47" i="7"/>
  <c r="B15" i="18"/>
  <c r="B21" i="18"/>
  <c r="C4" i="18" s="1"/>
  <c r="C25" i="18" s="1"/>
  <c r="C26" i="18" s="1"/>
  <c r="C40" i="7"/>
  <c r="E9" i="7"/>
  <c r="E11" i="7" s="1"/>
  <c r="E40" i="7" s="1"/>
  <c r="D17" i="4"/>
  <c r="E12" i="14"/>
  <c r="C13" i="14"/>
  <c r="D10" i="18"/>
  <c r="B30" i="18"/>
  <c r="B26" i="18"/>
  <c r="B31" i="18" s="1"/>
  <c r="F16" i="10"/>
  <c r="G9" i="18"/>
  <c r="I11" i="18"/>
  <c r="H3" i="15"/>
  <c r="G10" i="7"/>
  <c r="F10" i="13"/>
  <c r="G30" i="4"/>
  <c r="C18" i="10"/>
  <c r="H30" i="4"/>
  <c r="D14" i="14" l="1"/>
  <c r="C20" i="18"/>
  <c r="F9" i="7"/>
  <c r="F11" i="7" s="1"/>
  <c r="F40" i="7" s="1"/>
  <c r="E17" i="4"/>
  <c r="E19" i="4" s="1"/>
  <c r="E13" i="14"/>
  <c r="E15" i="11" s="1"/>
  <c r="E16" i="11" s="1"/>
  <c r="C26" i="11" s="1"/>
  <c r="C27" i="11" s="1"/>
  <c r="C14" i="14"/>
  <c r="D12" i="18"/>
  <c r="E10" i="18"/>
  <c r="D19" i="4"/>
  <c r="D21" i="4" s="1"/>
  <c r="D49" i="7" s="1"/>
  <c r="F17" i="10"/>
  <c r="H9" i="18"/>
  <c r="J11" i="18"/>
  <c r="I3" i="15"/>
  <c r="H10" i="7"/>
  <c r="G10" i="13"/>
  <c r="C19" i="10"/>
  <c r="D15" i="14" l="1"/>
  <c r="G9" i="7"/>
  <c r="G11" i="7" s="1"/>
  <c r="H9" i="7" s="1"/>
  <c r="H11" i="7" s="1"/>
  <c r="E12" i="18"/>
  <c r="F17" i="4"/>
  <c r="F19" i="4" s="1"/>
  <c r="C24" i="4"/>
  <c r="C26" i="4" s="1"/>
  <c r="C14" i="18" s="1"/>
  <c r="E14" i="14"/>
  <c r="C22" i="7"/>
  <c r="C15" i="14"/>
  <c r="F10" i="18"/>
  <c r="C4" i="20"/>
  <c r="C5" i="20" s="1"/>
  <c r="C6" i="20" s="1"/>
  <c r="F18" i="10"/>
  <c r="E21" i="4"/>
  <c r="E49" i="7" s="1"/>
  <c r="D4" i="20"/>
  <c r="C20" i="10"/>
  <c r="F19" i="10"/>
  <c r="I9" i="18"/>
  <c r="K11" i="18"/>
  <c r="I10" i="7"/>
  <c r="I30" i="4"/>
  <c r="H10" i="13"/>
  <c r="I10" i="13"/>
  <c r="J10" i="7"/>
  <c r="J30" i="4"/>
  <c r="D16" i="14" l="1"/>
  <c r="G40" i="7"/>
  <c r="G17" i="4"/>
  <c r="G19" i="4" s="1"/>
  <c r="F4" i="20" s="1"/>
  <c r="F5" i="20" s="1"/>
  <c r="F6" i="20" s="1"/>
  <c r="F12" i="18"/>
  <c r="C46" i="7"/>
  <c r="C48" i="7" s="1"/>
  <c r="C41" i="7"/>
  <c r="C42" i="7" s="1"/>
  <c r="C34" i="7"/>
  <c r="E15" i="14"/>
  <c r="C16" i="14"/>
  <c r="G10" i="18"/>
  <c r="F20" i="10"/>
  <c r="F21" i="4"/>
  <c r="F49" i="7" s="1"/>
  <c r="E4" i="20"/>
  <c r="E5" i="20" s="1"/>
  <c r="E6" i="20" s="1"/>
  <c r="D5" i="20"/>
  <c r="D6" i="20" s="1"/>
  <c r="K30" i="4"/>
  <c r="J10" i="13"/>
  <c r="J9" i="18"/>
  <c r="K9" i="18"/>
  <c r="H40" i="7"/>
  <c r="I9" i="7"/>
  <c r="I11" i="7" s="1"/>
  <c r="J9" i="7" s="1"/>
  <c r="J11" i="7" s="1"/>
  <c r="K10" i="7"/>
  <c r="D17" i="14" l="1"/>
  <c r="D20" i="18" s="1"/>
  <c r="G12" i="18"/>
  <c r="H17" i="4"/>
  <c r="H12" i="18" s="1"/>
  <c r="E16" i="14"/>
  <c r="C17" i="14"/>
  <c r="H10" i="18"/>
  <c r="I40" i="7"/>
  <c r="J40" i="7"/>
  <c r="K9" i="7"/>
  <c r="K11" i="7" s="1"/>
  <c r="K40" i="7" s="1"/>
  <c r="G21" i="4"/>
  <c r="G49" i="7" s="1"/>
  <c r="D47" i="7" l="1"/>
  <c r="D18" i="14"/>
  <c r="H19" i="4"/>
  <c r="G4" i="20" s="1"/>
  <c r="G5" i="20" s="1"/>
  <c r="G6" i="20" s="1"/>
  <c r="I17" i="4"/>
  <c r="I19" i="4" s="1"/>
  <c r="H4" i="20" s="1"/>
  <c r="H5" i="20" s="1"/>
  <c r="H6" i="20" s="1"/>
  <c r="E17" i="14"/>
  <c r="D24" i="4" s="1"/>
  <c r="D26" i="4" s="1"/>
  <c r="C18" i="14"/>
  <c r="I10" i="18"/>
  <c r="D19" i="14" l="1"/>
  <c r="I12" i="18"/>
  <c r="K17" i="4"/>
  <c r="J17" i="4"/>
  <c r="J19" i="4" s="1"/>
  <c r="I4" i="20" s="1"/>
  <c r="I5" i="20" s="1"/>
  <c r="I6" i="20" s="1"/>
  <c r="E18" i="14"/>
  <c r="D22" i="7"/>
  <c r="C19" i="14"/>
  <c r="D14" i="18"/>
  <c r="D46" i="7"/>
  <c r="D48" i="7" s="1"/>
  <c r="D50" i="7" s="1"/>
  <c r="D28" i="4"/>
  <c r="J10" i="18"/>
  <c r="H21" i="4"/>
  <c r="H49" i="7" s="1"/>
  <c r="D20" i="14" l="1"/>
  <c r="J12" i="18"/>
  <c r="D32" i="4"/>
  <c r="C7" i="13"/>
  <c r="C9" i="13" s="1"/>
  <c r="C11" i="13" s="1"/>
  <c r="C13" i="13" s="1"/>
  <c r="C14" i="13" s="1"/>
  <c r="D33" i="4" s="1"/>
  <c r="D16" i="18" s="1"/>
  <c r="E19" i="14"/>
  <c r="C20" i="14"/>
  <c r="D34" i="7"/>
  <c r="D41" i="7"/>
  <c r="D42" i="7" s="1"/>
  <c r="K10" i="18"/>
  <c r="D21" i="14" l="1"/>
  <c r="E47" i="7" s="1"/>
  <c r="E20" i="14"/>
  <c r="C21" i="14"/>
  <c r="C7" i="20"/>
  <c r="D34" i="4"/>
  <c r="D35" i="4" s="1"/>
  <c r="K12" i="18"/>
  <c r="K19" i="4"/>
  <c r="J4" i="20" s="1"/>
  <c r="J5" i="20" s="1"/>
  <c r="J6" i="20" s="1"/>
  <c r="I21" i="4"/>
  <c r="I49" i="7" s="1"/>
  <c r="E20" i="18" l="1"/>
  <c r="D22" i="14"/>
  <c r="D18" i="18"/>
  <c r="D27" i="18" s="1"/>
  <c r="D28" i="18" s="1"/>
  <c r="C8" i="20"/>
  <c r="E21" i="14"/>
  <c r="E24" i="4" s="1"/>
  <c r="E26" i="4" s="1"/>
  <c r="C22" i="14"/>
  <c r="D23" i="14" l="1"/>
  <c r="D24" i="14" s="1"/>
  <c r="D25" i="14" s="1"/>
  <c r="D26" i="14" s="1"/>
  <c r="D36" i="4"/>
  <c r="D19" i="7" s="1"/>
  <c r="E28" i="4"/>
  <c r="E46" i="7"/>
  <c r="E48" i="7" s="1"/>
  <c r="E50" i="7" s="1"/>
  <c r="E14" i="18"/>
  <c r="E22" i="14"/>
  <c r="C23" i="14"/>
  <c r="E22" i="7"/>
  <c r="F20" i="18" l="1"/>
  <c r="F47" i="7"/>
  <c r="D27" i="14"/>
  <c r="D28" i="14" s="1"/>
  <c r="D29" i="14" s="1"/>
  <c r="G20" i="18"/>
  <c r="G47" i="7"/>
  <c r="E34" i="7"/>
  <c r="E41" i="7"/>
  <c r="E42" i="7" s="1"/>
  <c r="E23" i="14"/>
  <c r="C24" i="14"/>
  <c r="E32" i="4"/>
  <c r="D7" i="13"/>
  <c r="D9" i="13" s="1"/>
  <c r="D11" i="13" s="1"/>
  <c r="D13" i="13" s="1"/>
  <c r="D14" i="13" s="1"/>
  <c r="E33" i="4" s="1"/>
  <c r="E16" i="18" s="1"/>
  <c r="J21" i="4"/>
  <c r="J3" i="15"/>
  <c r="K3" i="15"/>
  <c r="D7" i="20" l="1"/>
  <c r="E34" i="4"/>
  <c r="E35" i="4" s="1"/>
  <c r="E24" i="14"/>
  <c r="C25" i="14"/>
  <c r="J28" i="4"/>
  <c r="J32" i="4" s="1"/>
  <c r="J49" i="7"/>
  <c r="K21" i="4"/>
  <c r="H47" i="7" l="1"/>
  <c r="H20" i="18"/>
  <c r="I47" i="7"/>
  <c r="E25" i="14"/>
  <c r="F24" i="4" s="1"/>
  <c r="F26" i="4" s="1"/>
  <c r="C26" i="14"/>
  <c r="E18" i="18"/>
  <c r="E27" i="18" s="1"/>
  <c r="E28" i="18" s="1"/>
  <c r="D8" i="20"/>
  <c r="I7" i="20"/>
  <c r="I7" i="13"/>
  <c r="I9" i="13" s="1"/>
  <c r="I11" i="13" s="1"/>
  <c r="I13" i="13" s="1"/>
  <c r="I14" i="13" s="1"/>
  <c r="J33" i="4" s="1"/>
  <c r="J16" i="18" s="1"/>
  <c r="K28" i="4"/>
  <c r="K32" i="4" s="1"/>
  <c r="K49" i="7"/>
  <c r="I20" i="18" l="1"/>
  <c r="E36" i="4"/>
  <c r="E19" i="7" s="1"/>
  <c r="F46" i="7"/>
  <c r="F48" i="7" s="1"/>
  <c r="F50" i="7" s="1"/>
  <c r="F28" i="4"/>
  <c r="F14" i="18"/>
  <c r="E26" i="14"/>
  <c r="F22" i="7"/>
  <c r="C27" i="14"/>
  <c r="J7" i="20"/>
  <c r="J34" i="4"/>
  <c r="J35" i="4" s="1"/>
  <c r="J7" i="13"/>
  <c r="J9" i="13" s="1"/>
  <c r="J11" i="13" s="1"/>
  <c r="J13" i="13" s="1"/>
  <c r="J14" i="13" s="1"/>
  <c r="K33" i="4" s="1"/>
  <c r="E27" i="14" l="1"/>
  <c r="C28" i="14"/>
  <c r="F34" i="7"/>
  <c r="F41" i="7"/>
  <c r="F42" i="7" s="1"/>
  <c r="F32" i="4"/>
  <c r="E7" i="13"/>
  <c r="E9" i="13" s="1"/>
  <c r="E11" i="13" s="1"/>
  <c r="E13" i="13" s="1"/>
  <c r="E14" i="13" s="1"/>
  <c r="F33" i="4" s="1"/>
  <c r="F16" i="18" s="1"/>
  <c r="J36" i="4"/>
  <c r="J19" i="7" s="1"/>
  <c r="I8" i="20"/>
  <c r="K34" i="4"/>
  <c r="K35" i="4" s="1"/>
  <c r="K16" i="18"/>
  <c r="C29" i="14" l="1"/>
  <c r="E28" i="14"/>
  <c r="E7" i="20"/>
  <c r="F34" i="4"/>
  <c r="F35" i="4" s="1"/>
  <c r="J18" i="18"/>
  <c r="J27" i="18" s="1"/>
  <c r="K36" i="4"/>
  <c r="K19" i="7" s="1"/>
  <c r="J8" i="20"/>
  <c r="F18" i="18" l="1"/>
  <c r="F27" i="18" s="1"/>
  <c r="F28" i="18" s="1"/>
  <c r="E8" i="20"/>
  <c r="C30" i="14"/>
  <c r="E29" i="14"/>
  <c r="G24" i="4" s="1"/>
  <c r="G26" i="4" s="1"/>
  <c r="G22" i="7"/>
  <c r="J28" i="18"/>
  <c r="K18" i="18"/>
  <c r="K27" i="18" s="1"/>
  <c r="F36" i="4" l="1"/>
  <c r="F19" i="7" s="1"/>
  <c r="G41" i="7"/>
  <c r="G42" i="7" s="1"/>
  <c r="G34" i="7"/>
  <c r="C31" i="14"/>
  <c r="E30" i="14"/>
  <c r="G14" i="18"/>
  <c r="G46" i="7"/>
  <c r="G48" i="7" s="1"/>
  <c r="G50" i="7" s="1"/>
  <c r="G28" i="4"/>
  <c r="K28" i="18"/>
  <c r="G32" i="4" l="1"/>
  <c r="F7" i="13"/>
  <c r="F9" i="13" s="1"/>
  <c r="F11" i="13" s="1"/>
  <c r="F13" i="13" s="1"/>
  <c r="F14" i="13" s="1"/>
  <c r="G33" i="4" s="1"/>
  <c r="G16" i="18" s="1"/>
  <c r="C33" i="14" l="1"/>
  <c r="F7" i="20"/>
  <c r="G34" i="4"/>
  <c r="G35" i="4" s="1"/>
  <c r="G18" i="18" l="1"/>
  <c r="G27" i="18" s="1"/>
  <c r="G28" i="18" s="1"/>
  <c r="F8" i="20"/>
  <c r="C34" i="14"/>
  <c r="H24" i="4"/>
  <c r="H26" i="4" s="1"/>
  <c r="H22" i="7"/>
  <c r="G36" i="4" l="1"/>
  <c r="G19" i="7" s="1"/>
  <c r="H46" i="7"/>
  <c r="H48" i="7" s="1"/>
  <c r="H50" i="7" s="1"/>
  <c r="H28" i="4"/>
  <c r="H32" i="4" s="1"/>
  <c r="H14" i="18"/>
  <c r="H34" i="7"/>
  <c r="H41" i="7"/>
  <c r="F43" i="7" s="1"/>
  <c r="C35" i="14"/>
  <c r="C36" i="14" l="1"/>
  <c r="G7" i="13"/>
  <c r="G9" i="13" s="1"/>
  <c r="G11" i="13" s="1"/>
  <c r="G13" i="13" s="1"/>
  <c r="G14" i="13" s="1"/>
  <c r="H33" i="4" s="1"/>
  <c r="H16" i="18" s="1"/>
  <c r="G7" i="20" l="1"/>
  <c r="H34" i="4"/>
  <c r="H35" i="4" s="1"/>
  <c r="C37" i="14"/>
  <c r="I24" i="4" l="1"/>
  <c r="I26" i="4" s="1"/>
  <c r="I14" i="18" s="1"/>
  <c r="H18" i="18"/>
  <c r="H27" i="18" s="1"/>
  <c r="H28" i="18" s="1"/>
  <c r="G8" i="20"/>
  <c r="I28" i="4" l="1"/>
  <c r="I32" i="4" s="1"/>
  <c r="I46" i="7"/>
  <c r="I48" i="7" s="1"/>
  <c r="H36" i="4"/>
  <c r="H19" i="7" s="1"/>
  <c r="H7" i="13" l="1"/>
  <c r="H9" i="13" s="1"/>
  <c r="H11" i="13" s="1"/>
  <c r="H13" i="13" s="1"/>
  <c r="H14" i="13" s="1"/>
  <c r="I33" i="4" s="1"/>
  <c r="I16" i="18" s="1"/>
  <c r="H7" i="20"/>
  <c r="I34" i="4" l="1"/>
  <c r="I35" i="4" s="1"/>
  <c r="H8" i="20" l="1"/>
  <c r="I18" i="18"/>
  <c r="I27" i="18" s="1"/>
  <c r="I28" i="18" s="1"/>
  <c r="I36" i="4"/>
  <c r="I19" i="7" s="1"/>
  <c r="C12" i="18"/>
  <c r="C15" i="18" s="1"/>
  <c r="C19" i="4"/>
  <c r="C21" i="4" l="1"/>
  <c r="B4" i="20"/>
  <c r="B5" i="20" s="1"/>
  <c r="B6" i="20" s="1"/>
  <c r="C49" i="7" l="1"/>
  <c r="C50" i="7" s="1"/>
  <c r="F51" i="7" s="1"/>
  <c r="C28" i="4"/>
  <c r="C32" i="4" s="1"/>
  <c r="B7" i="13" l="1"/>
  <c r="B9" i="13" s="1"/>
  <c r="B11" i="13" s="1"/>
  <c r="B13" i="13" s="1"/>
  <c r="B14" i="13" s="1"/>
  <c r="C33" i="4" s="1"/>
  <c r="C16" i="18" s="1"/>
  <c r="C17" i="18" l="1"/>
  <c r="C34" i="4"/>
  <c r="B7" i="20"/>
  <c r="B8" i="20" l="1"/>
  <c r="C18" i="18" l="1"/>
  <c r="C27" i="18" s="1"/>
  <c r="C36"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<sst xmlns="http://schemas.openxmlformats.org/spreadsheetml/2006/main" count="436" uniqueCount="314">
  <si>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</si>
  <si>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</si>
  <si>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</si>
  <si>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</si>
  <si>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</si>
  <si>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</si>
  <si>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</si>
  <si>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</si>
  <si>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</si>
  <si>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</si>
  <si>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</si>
  <si>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</si>
  <si>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</si>
  <si>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</si>
  <si>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</si>
  <si>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</si>
  <si>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</si>
  <si>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</si>
  <si>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</si>
  <si>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</si>
  <si>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</si>
  <si>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</si>
  <si>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</si>
  <si>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</si>
  <si>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</si>
  <si>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</si>
  <si>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</si>
  <si>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</si>
  <si>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</si>
  <si>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</si>
  <si>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</si>
  <si>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</si>
  <si>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</si>
  <si>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</si>
  <si>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</si>
  <si>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</si>
  <si>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</si>
  <si>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</si>
  <si>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</si>
  <si>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</si>
  <si>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</si>
  <si>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</si>
  <si>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</si>
  <si>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</si>
  <si>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</si>
  <si>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</si>
  <si>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</si>
  <si>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</si>
  <si>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</si>
  <si>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</si>
  <si>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</si>
  <si>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</si>
  <si>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</si>
  <si>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</si>
  <si>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</si>
  <si>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</si>
  <si>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</si>
  <si>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</si>
  <si>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</si>
  <si>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</si>
  <si>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</si>
  <si>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</si>
  <si>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</si>
  <si>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</si>
  <si>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</si>
  <si>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</si>
  <si>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</si>
  <si>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</si>
  <si>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</si>
  <si>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</si>
  <si>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</si>
  <si>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</si>
  <si>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</si>
  <si>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</si>
  <si>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</si>
  <si>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</si>
  <si>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</si>
  <si>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</si>
  <si>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</si>
  <si>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</si>
  <si>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</si>
  <si>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</si>
  <si>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</si>
  <si>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</si>
  <si>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</si>
  <si>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</si>
  <si>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</si>
  <si>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</si>
  <si>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</si>
  <si>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</si>
  <si>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</si>
  <si>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</si>
  <si>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</si>
  <si>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</si>
  <si>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</si>
  <si>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</si>
  <si>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</si>
  <si>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</si>
  <si>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</si>
  <si>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</si>
  <si>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</si>
  <si>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</si>
  <si>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</si>
  <si>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</si>
  <si>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</si>
  <si>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</si>
  <si>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</si>
  <si>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</si>
  <si>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</si>
  <si>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</si>
  <si>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</si>
  <si>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</si>
  <si>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</si>
  <si>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</si>
  <si>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</si>
  <si>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</si>
  <si>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</si>
  <si>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</si>
  <si>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</si>
  <si>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</si>
  <si>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</si>
  <si>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</si>
  <si>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</si>
  <si>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</si>
  <si>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</si>
  <si>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</si>
  <si>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</si>
  <si>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</si>
  <si>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</si>
  <si>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</si>
  <si>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</si>
  <si>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</si>
  <si>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</si>
  <si>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</si>
  <si>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</si>
  <si>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</si>
  <si>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</si>
  <si>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</si>
  <si>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</si>
  <si>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</si>
  <si>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</si>
  <si>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</si>
  <si>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</si>
  <si>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</si>
  <si>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</si>
  <si>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</si>
  <si>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</si>
  <si>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</si>
  <si>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</si>
  <si>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</si>
  <si>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</si>
  <si>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</si>
  <si>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</si>
  <si>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</si>
  <si>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</si>
  <si>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</si>
  <si>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</si>
  <si>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</si>
  <si>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</si>
  <si>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</si>
  <si>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</si>
  <si>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</si>
  <si>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</si>
  <si>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</si>
  <si>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</si>
  <si>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</si>
  <si>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</si>
  <si>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</si>
  <si>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</si>
  <si>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</si>
  <si>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</si>
  <si>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</si>
  <si>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</si>
  <si>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</si>
  <si>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</si>
  <si>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</si>
  <si>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</si>
  <si>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</si>
  <si>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</si>
  <si>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</si>
  <si>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</si>
  <si>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</si>
  <si>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</si>
  <si>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</si>
  <si>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</si>
  <si>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</si>
  <si>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</si>
  <si>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</si>
  <si>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</si>
  <si>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</si>
  <si>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</si>
  <si>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</si>
  <si>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</si>
  <si>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</si>
  <si>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</si>
  <si>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</si>
  <si>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</si>
  <si>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</si>
  <si>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</si>
  <si>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</si>
  <si>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</si>
  <si>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</si>
  <si>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</si>
  <si>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</si>
  <si>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</si>
  <si>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</si>
  <si>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</si>
  <si>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</si>
  <si>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</si>
  <si>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</si>
  <si>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</si>
  <si>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</si>
  <si>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</si>
  <si>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</si>
  <si>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</si>
  <si>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</si>
  <si>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</si>
  <si>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</si>
  <si>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</si>
  <si>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</si>
  <si>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</si>
  <si>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</si>
  <si>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</si>
  <si>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</si>
  <si>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</si>
  <si>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</si>
  <si>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</si>
  <si>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</si>
  <si>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</si>
  <si>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</si>
  <si>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</si>
  <si>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</si>
  <si>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</si>
  <si>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</si>
  <si>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</si>
  <si>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</si>
  <si>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</si>
  <si>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</si>
  <si>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</si>
  <si>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</si>
  <si>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</si>
  <si>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</si>
  <si>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</si>
  <si>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</si>
  <si>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</si>
  <si>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</si>
  <si>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</si>
  <si>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3. Miscellanoeus Fixed Asset</t>
  </si>
  <si>
    <t>Civil work for building</t>
  </si>
  <si>
    <t>Accountant cum cashier</t>
  </si>
  <si>
    <t>Mechanic</t>
  </si>
  <si>
    <t>Labour</t>
  </si>
  <si>
    <t>Insurance cost @ 2% of purchase cost</t>
  </si>
  <si>
    <t>It is assumed that insuarance cost is 2% of purchase price and this will increase 5% annually</t>
  </si>
  <si>
    <t>Add: Opening Stock</t>
  </si>
  <si>
    <t>Less: Closing Stock</t>
  </si>
  <si>
    <t>Operational days</t>
  </si>
  <si>
    <t>purchase price per kg</t>
  </si>
  <si>
    <t>sales prices per kg</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</si>
  <si>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</si>
  <si>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</si>
  <si>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</si>
  <si>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</si>
  <si>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</si>
  <si>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</si>
  <si>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</si>
  <si>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</si>
  <si>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</si>
  <si>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</si>
  <si>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Production capacity (kgs)</t>
  </si>
  <si>
    <t>Total Financial expense</t>
  </si>
  <si>
    <t>Variable costs</t>
  </si>
  <si>
    <t>Electricity cost</t>
  </si>
  <si>
    <t>Running and maintenance</t>
  </si>
  <si>
    <t>Interest on working capital</t>
  </si>
  <si>
    <t>Contribution per unit</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</si>
  <si>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</si>
  <si>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</si>
  <si>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</si>
  <si>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</si>
  <si>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300 days</t>
  </si>
  <si>
    <t>Add: benefits @ 20%</t>
  </si>
  <si>
    <t>Input pulses/ cereal cost</t>
  </si>
  <si>
    <t>Revenue</t>
  </si>
  <si>
    <t>Sales (kgs)</t>
  </si>
  <si>
    <t>Running and Manintenance expense @ 10% of input cereal cost</t>
  </si>
  <si>
    <t>1. Electricity are semi-fixed cost. Rs. 45,000 pa is fixed, balance is variable at Rs. 10 per unit usage</t>
  </si>
  <si>
    <t>4. Closing stock is valued at Rs 25 (avg cost)</t>
  </si>
  <si>
    <t>Input cereal/ pulse cost</t>
  </si>
  <si>
    <t>Annexure 14 - Cash flow statement</t>
  </si>
  <si>
    <t>Ann 14'!A1</t>
  </si>
  <si>
    <t>Electricity are semi-fixed cost. Rs. 45,000 pa is fixed, balance is variable at Rs. 10 per unit usage</t>
  </si>
  <si>
    <t>5. It is assumed that 10% of the output gets wasted during production</t>
  </si>
  <si>
    <t>It is assumed that 10% of the output gets wasted during production</t>
  </si>
  <si>
    <t>Gravity separator</t>
  </si>
  <si>
    <t>Destoner</t>
  </si>
  <si>
    <t>Dal grader</t>
  </si>
  <si>
    <t>Chakki with emery stone</t>
  </si>
  <si>
    <t>Bucket Elevators</t>
  </si>
  <si>
    <t>Tray drier</t>
  </si>
  <si>
    <t>Colour sorter</t>
  </si>
  <si>
    <t>Weighing machine at platform</t>
  </si>
  <si>
    <t>Form fill and seal machine</t>
  </si>
  <si>
    <t>iv.</t>
  </si>
  <si>
    <t>Security</t>
  </si>
  <si>
    <t>Production is 1 ton per hour</t>
  </si>
  <si>
    <t>For the first year of operation the break-even capacity comes at 50.62%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</si>
  <si>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</si>
  <si>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Other income - Subsidy for repayment of loan</t>
  </si>
  <si>
    <t>Subsidy is available maximum 25%</t>
  </si>
  <si>
    <t>In case of Capital subsidy, the amount vary depending on location of unit and scheme offered by the government at that time. Thus it is assumed here that 25% of cost of project(Rs. 32.6 lakhs)is sourced through back end subsidy.</t>
  </si>
  <si>
    <t>The amount Rs. 32.6 lakhs is sourced by Government subsidy. Since this is a back end subsidy, the amount is funded to bank at the end of repayment schedule.</t>
  </si>
  <si>
    <t>Less: Income tax/ tax savings</t>
  </si>
  <si>
    <t>Income Tax/ tax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</si>
</sst>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
      <sz val="12"/>
      <color theme="1"/>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8">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164" fontId="6" fillId="0" borderId="0" xfId="0" applyNumberFormat="1" applyFont="1"/>
    <xf numFmtId="164" fontId="6" fillId="3" borderId="4" xfId="1" applyNumberFormat="1" applyFont="1" applyFill="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43" fontId="6" fillId="0" borderId="10" xfId="1" applyFont="1" applyBorder="1"/>
    <xf numFmtId="0" fontId="8" fillId="0" borderId="0" xfId="0" applyFont="1"/>
    <xf numFmtId="0" fontId="6" fillId="0" borderId="1" xfId="0" applyFont="1" applyFill="1" applyBorder="1"/>
    <xf numFmtId="164" fontId="6" fillId="0" borderId="1" xfId="1" applyNumberFormat="1" applyFont="1" applyBorder="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8" fillId="3" borderId="0" xfId="0" applyFont="1" applyFill="1"/>
    <xf numFmtId="0" fontId="6"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3" borderId="1" xfId="0" applyFont="1" applyFill="1" applyBorder="1" applyAlignment="1">
      <alignment horizontal="center"/>
    </xf>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0" fontId="6" fillId="0" borderId="0" xfId="0"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0" fontId="6" fillId="3" borderId="6" xfId="0" applyFont="1" applyFill="1" applyBorder="1"/>
    <xf numFmtId="0" fontId="6" fillId="0" borderId="0" xfId="0" applyFont="1" applyBorder="1" applyAlignment="1">
      <alignment vertical="top"/>
    </xf>
    <xf numFmtId="164" fontId="6" fillId="0" borderId="0" xfId="0" applyNumberFormat="1" applyFont="1" applyBorder="1" applyAlignment="1">
      <alignment vertical="top"/>
    </xf>
    <xf numFmtId="165" fontId="6" fillId="0" borderId="0" xfId="0" applyNumberFormat="1" applyFont="1" applyBorder="1" applyAlignment="1">
      <alignment vertical="top" wrapText="1"/>
    </xf>
    <xf numFmtId="0" fontId="6" fillId="0" borderId="0" xfId="0" applyFont="1" applyFill="1" applyBorder="1" applyAlignment="1">
      <alignment vertical="top"/>
    </xf>
    <xf numFmtId="0" fontId="5" fillId="3" borderId="1" xfId="0" applyFont="1" applyFill="1" applyBorder="1" applyAlignment="1">
      <alignment horizontal="center"/>
    </xf>
    <xf numFmtId="0" fontId="5" fillId="3" borderId="0" xfId="0" applyFont="1" applyFill="1"/>
    <xf numFmtId="0" fontId="6" fillId="0" borderId="0" xfId="0" applyFont="1" applyFill="1" applyBorder="1" applyAlignment="1">
      <alignment vertical="top" wrapText="1"/>
    </xf>
    <xf numFmtId="0" fontId="11" fillId="0" borderId="0" xfId="0" applyFont="1" applyFill="1" applyBorder="1" applyAlignment="1">
      <alignment vertical="center" wrapText="1"/>
    </xf>
    <xf numFmtId="0" fontId="11" fillId="0" borderId="6" xfId="0" applyFont="1" applyFill="1" applyBorder="1" applyAlignment="1">
      <alignment vertical="center" wrapText="1"/>
    </xf>
    <xf numFmtId="0" fontId="11" fillId="0" borderId="14" xfId="0" applyFont="1" applyFill="1" applyBorder="1" applyAlignment="1">
      <alignment vertical="center" wrapText="1"/>
    </xf>
    <xf numFmtId="0" fontId="6" fillId="0" borderId="14" xfId="0" applyFont="1" applyBorder="1" applyAlignment="1">
      <alignment horizontal="left"/>
    </xf>
    <xf numFmtId="164" fontId="6" fillId="0" borderId="14" xfId="1" applyNumberFormat="1" applyFont="1" applyBorder="1"/>
    <xf numFmtId="43" fontId="5" fillId="0" borderId="4" xfId="0" applyNumberFormat="1" applyFont="1" applyBorder="1"/>
    <xf numFmtId="0" fontId="5" fillId="3" borderId="2" xfId="0" applyFont="1" applyFill="1" applyBorder="1"/>
    <xf numFmtId="0" fontId="5" fillId="3" borderId="3" xfId="0" applyFont="1" applyFill="1" applyBorder="1"/>
    <xf numFmtId="0" fontId="5" fillId="3" borderId="4" xfId="0" applyFont="1" applyFill="1" applyBorder="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3" borderId="1" xfId="0" applyFont="1" applyFill="1" applyBorder="1" applyAlignment="1">
      <alignment horizont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row r="1">
          <cell r="A1" t="str">
            <v>Annexure 3 - Complete Estimate of Civil and Plant and Machinery</v>
          </cell>
        </row>
      </sheetData>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row r="1">
          <cell r="A1" t="str">
            <v>Annexure 7 - Details of Mnpower (Technical)</v>
          </cell>
        </row>
      </sheetData>
      <sheetData sheetId="8">
        <row r="1">
          <cell r="A1" t="str">
            <v>Annexure 8 - Details of Mnpower (Administrative)</v>
          </cell>
        </row>
      </sheetData>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3" sqref="A13"/>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199</v>
      </c>
    </row>
    <row r="3" spans="1:2" x14ac:dyDescent="0.6">
      <c r="A3" s="10" t="s">
        <v>200</v>
      </c>
      <c r="B3" s="10" t="s">
        <v>201</v>
      </c>
    </row>
    <row r="4" spans="1:2" x14ac:dyDescent="0.6">
      <c r="A4" s="7" t="str">
        <f>'[1]Ann 1'!A3</f>
        <v>Annexure 1 - Estimated cost of the project</v>
      </c>
      <c r="B4" s="8" t="s">
        <v>202</v>
      </c>
    </row>
    <row r="5" spans="1:2" x14ac:dyDescent="0.6">
      <c r="A5" s="7" t="str">
        <f>'[1]Ann 2'!A1</f>
        <v>Annexure 2 - Means of Finance</v>
      </c>
      <c r="B5" s="8" t="s">
        <v>203</v>
      </c>
    </row>
    <row r="6" spans="1:2" x14ac:dyDescent="0.6">
      <c r="A6" s="7" t="str">
        <f>'Ann 3'!A1</f>
        <v>Annexure 3 - Complete Estimate of Civil and Plant and Machinery</v>
      </c>
      <c r="B6" s="8" t="s">
        <v>218</v>
      </c>
    </row>
    <row r="7" spans="1:2" x14ac:dyDescent="0.6">
      <c r="A7" s="7" t="str">
        <f>'[1]Ann 4'!A1</f>
        <v>Annexure 4 - Estimated Cost of Production</v>
      </c>
      <c r="B7" s="8" t="s">
        <v>204</v>
      </c>
    </row>
    <row r="8" spans="1:2" x14ac:dyDescent="0.6">
      <c r="A8" s="7" t="str">
        <f>'[1]Ann 5'!A1</f>
        <v>Annexure 5- Projected balance sheet</v>
      </c>
      <c r="B8" s="8" t="s">
        <v>205</v>
      </c>
    </row>
    <row r="9" spans="1:2" x14ac:dyDescent="0.6">
      <c r="A9" s="7" t="str">
        <f>'Ann 8'!A1</f>
        <v>Annexure 8 - Details of Mnpower</v>
      </c>
      <c r="B9" s="8" t="s">
        <v>206</v>
      </c>
    </row>
    <row r="10" spans="1:2" x14ac:dyDescent="0.6">
      <c r="A10" s="7" t="str">
        <f>'Ann 9'!A1</f>
        <v>Annexure 9 - Computation of Depreciation</v>
      </c>
      <c r="B10" s="8" t="s">
        <v>207</v>
      </c>
    </row>
    <row r="11" spans="1:2" x14ac:dyDescent="0.6">
      <c r="A11" s="7" t="str">
        <f>'Ann 10'!A1</f>
        <v>Annexure 10 - Calculation of Income tax</v>
      </c>
      <c r="B11" s="8" t="s">
        <v>208</v>
      </c>
    </row>
    <row r="12" spans="1:2" x14ac:dyDescent="0.6">
      <c r="A12" s="7" t="str">
        <f>'[1]Ann 11'!A1</f>
        <v>Annexure 11- Break even analysis (At maximum capacity utilization)</v>
      </c>
      <c r="B12" s="8" t="s">
        <v>209</v>
      </c>
    </row>
    <row r="13" spans="1:2" x14ac:dyDescent="0.6">
      <c r="A13" s="7" t="str">
        <f>'Ann 13'!A1</f>
        <v>Annexure 13 - Repayment schedule</v>
      </c>
      <c r="B13" s="8" t="s">
        <v>210</v>
      </c>
    </row>
    <row r="14" spans="1:2" x14ac:dyDescent="0.6">
      <c r="A14" s="7" t="str">
        <f>'Ann 14'!A1</f>
        <v>Annexure 14 - Cash flow statement</v>
      </c>
      <c r="B14" s="8" t="s">
        <v>290</v>
      </c>
    </row>
    <row r="15" spans="1:2" x14ac:dyDescent="0.6">
      <c r="A15" s="7" t="str">
        <f>[1]Assumptions!B1</f>
        <v>Assumptions</v>
      </c>
      <c r="B15" s="9" t="s">
        <v>211</v>
      </c>
    </row>
    <row r="16" spans="1:2" x14ac:dyDescent="0.6">
      <c r="A16" s="7" t="str">
        <f>[1]Budgets!A1</f>
        <v>Sales Budget</v>
      </c>
      <c r="B16" s="9" t="s">
        <v>212</v>
      </c>
    </row>
  </sheetData>
  <hyperlinks>
    <hyperlink ref="B4" location="'Ann 1'!A1" display="'Ann 1'!A1" xr:uid="{516A60AD-C13D-4870-8F51-5F8F77DD87B6}"/>
    <hyperlink ref="B5" location="'Ann 2'!A1" display="'Ann 2'!A1" xr:uid="{4FBBD6DF-CE2E-40DB-9250-BB1FE9104218}"/>
    <hyperlink ref="B6" location="'Ann 3'!A1" display="'Ann 3'!A1" xr:uid="{F7992CD8-EDA1-41E7-99ED-B239A178D6EE}"/>
    <hyperlink ref="B7" location="'Ann 4'!A1" display="'Ann 4'!A1" xr:uid="{C18F055F-F9EF-466C-8462-5F3444389AEE}"/>
    <hyperlink ref="B8" location="'Ann 5'!A1" display="'Ann 5'!A1" xr:uid="{5F10A7E4-99BE-45E6-B549-6E2C8AE2B7DA}"/>
    <hyperlink ref="B9" location="'Ann 8'!A1" display="'Ann 8'!A1" xr:uid="{33CCB3DE-246E-4A68-ADB4-3215260B5148}"/>
    <hyperlink ref="B10" location="'Ann 9'!A1" display="'Ann 9'!A1" xr:uid="{28346F10-5B11-43A4-AF77-7AF832ABE423}"/>
    <hyperlink ref="B11" location="'Ann 10'!A1" display="'Ann 10'!A1" xr:uid="{E69D2B71-5357-47E2-9B76-319685804084}"/>
    <hyperlink ref="B12" location="'Ann 11'!A1" display="'Ann 11'!A1" xr:uid="{7B605496-70C1-4500-AA0F-97CDF53BC367}"/>
    <hyperlink ref="B13" location="'Ann 13'!A1" display="'Ann 13'!A1" xr:uid="{1CAC7022-EE8A-49ED-99E5-EE2E36AC9005}"/>
    <hyperlink ref="B14" location="'Ann 14'!A1" display="'Ann 14'!A1" xr:uid="{1054A074-B2AC-4CBC-883A-7FB58CD5476E}"/>
    <hyperlink ref="B15" location="Assumptions!A1" display="Assumptions!A1" xr:uid="{7DE617AD-D311-48CD-91D2-30CFD20D12C9}"/>
    <hyperlink ref="B16" location="Budgets!A1" display="Budgets!A1" xr:uid="{A46CF7E4-3A99-48BC-B36C-1C8215DBF5C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9" sqref="B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104</v>
      </c>
    </row>
    <row r="3" spans="1:10" x14ac:dyDescent="0.6">
      <c r="A3" s="74" t="s">
        <v>105</v>
      </c>
    </row>
    <row r="5" spans="1:10" x14ac:dyDescent="0.6">
      <c r="A5" s="140" t="s">
        <v>3</v>
      </c>
      <c r="B5" s="140" t="s">
        <v>48</v>
      </c>
      <c r="C5" s="140"/>
      <c r="D5" s="140"/>
      <c r="E5" s="140"/>
      <c r="F5" s="140"/>
      <c r="G5" s="140"/>
      <c r="H5" s="140"/>
      <c r="I5" s="140"/>
      <c r="J5" s="140"/>
    </row>
    <row r="6" spans="1:10" x14ac:dyDescent="0.6">
      <c r="A6" s="140"/>
      <c r="B6" s="27" t="s">
        <v>39</v>
      </c>
      <c r="C6" s="27" t="s">
        <v>40</v>
      </c>
      <c r="D6" s="27" t="s">
        <v>41</v>
      </c>
      <c r="E6" s="27" t="s">
        <v>42</v>
      </c>
      <c r="F6" s="27" t="s">
        <v>43</v>
      </c>
      <c r="G6" s="27" t="s">
        <v>44</v>
      </c>
      <c r="H6" s="27" t="s">
        <v>45</v>
      </c>
      <c r="I6" s="27" t="s">
        <v>46</v>
      </c>
      <c r="J6" s="27" t="s">
        <v>47</v>
      </c>
    </row>
    <row r="7" spans="1:10" x14ac:dyDescent="0.6">
      <c r="A7" s="7" t="s">
        <v>106</v>
      </c>
      <c r="B7" s="76">
        <f>'Ann 4'!C28</f>
        <v>1032143.1999999881</v>
      </c>
      <c r="C7" s="76">
        <f>'Ann 4'!D28</f>
        <v>5683695</v>
      </c>
      <c r="D7" s="76">
        <f>'Ann 4'!E28</f>
        <v>6234959.8799999952</v>
      </c>
      <c r="E7" s="76">
        <f>'Ann 4'!F28</f>
        <v>6779468.4948000014</v>
      </c>
      <c r="F7" s="76">
        <f>'Ann 4'!G28</f>
        <v>7316827.8059880063</v>
      </c>
      <c r="G7" s="76">
        <f>'Ann 4'!H28</f>
        <v>6934141.8097222894</v>
      </c>
      <c r="H7" s="76">
        <f>'Ann 4'!I28</f>
        <v>7347510.1896493733</v>
      </c>
      <c r="I7" s="76">
        <f>'Ann 4'!J28</f>
        <v>7209596.2860470787</v>
      </c>
      <c r="J7" s="76">
        <f>'Ann 4'!K28</f>
        <v>7063554.9587491304</v>
      </c>
    </row>
    <row r="8" spans="1:10" x14ac:dyDescent="0.6">
      <c r="A8" s="7" t="s">
        <v>107</v>
      </c>
      <c r="B8" s="76">
        <v>0</v>
      </c>
      <c r="C8" s="76">
        <v>0</v>
      </c>
      <c r="D8" s="76">
        <v>0</v>
      </c>
      <c r="E8" s="76">
        <v>0</v>
      </c>
      <c r="F8" s="76">
        <v>0</v>
      </c>
      <c r="G8" s="76">
        <v>0</v>
      </c>
      <c r="H8" s="76">
        <v>0</v>
      </c>
      <c r="I8" s="76">
        <v>0</v>
      </c>
      <c r="J8" s="76">
        <v>0</v>
      </c>
    </row>
    <row r="9" spans="1:10" x14ac:dyDescent="0.6">
      <c r="A9" s="7" t="s">
        <v>108</v>
      </c>
      <c r="B9" s="76">
        <f>B7+B8</f>
        <v>1032143.1999999881</v>
      </c>
      <c r="C9" s="76">
        <f t="shared" ref="C9:J9" si="0">C7+C8</f>
        <v>5683695</v>
      </c>
      <c r="D9" s="76">
        <f t="shared" si="0"/>
        <v>6234959.8799999952</v>
      </c>
      <c r="E9" s="76">
        <f t="shared" si="0"/>
        <v>6779468.4948000014</v>
      </c>
      <c r="F9" s="76">
        <f t="shared" si="0"/>
        <v>7316827.8059880063</v>
      </c>
      <c r="G9" s="76">
        <f t="shared" si="0"/>
        <v>6934141.8097222894</v>
      </c>
      <c r="H9" s="76">
        <f t="shared" si="0"/>
        <v>7347510.1896493733</v>
      </c>
      <c r="I9" s="76">
        <f t="shared" si="0"/>
        <v>7209596.2860470787</v>
      </c>
      <c r="J9" s="76">
        <f t="shared" si="0"/>
        <v>7063554.9587491304</v>
      </c>
    </row>
    <row r="10" spans="1:10" x14ac:dyDescent="0.6">
      <c r="A10" s="7" t="s">
        <v>109</v>
      </c>
      <c r="B10" s="76">
        <f>SUM('Ann 9'!C12:E12)</f>
        <v>1850000</v>
      </c>
      <c r="C10" s="76">
        <f>SUM('Ann 9'!C13:E13)</f>
        <v>1582500</v>
      </c>
      <c r="D10" s="76">
        <f>SUM('Ann 9'!C14:E14)</f>
        <v>1354125</v>
      </c>
      <c r="E10" s="76">
        <f>SUM('Ann 9'!C15:E15)</f>
        <v>1159106.25</v>
      </c>
      <c r="F10" s="76">
        <f>SUM('Ann 9'!C16:E16)</f>
        <v>992530.3125</v>
      </c>
      <c r="G10" s="76">
        <f>SUM('Ann 9'!C17:E17)</f>
        <v>850211.765625</v>
      </c>
      <c r="H10" s="76">
        <f>SUM('Ann 9'!C18:E18)</f>
        <v>728584.90078124998</v>
      </c>
      <c r="I10" s="76">
        <f>SUM('Ann 9'!C19:E19)</f>
        <v>624611.57566406252</v>
      </c>
      <c r="J10" s="76">
        <f>SUM('Ann 9'!C20:E20)</f>
        <v>535702.80831445323</v>
      </c>
    </row>
    <row r="11" spans="1:10" x14ac:dyDescent="0.6">
      <c r="A11" s="7" t="s">
        <v>108</v>
      </c>
      <c r="B11" s="76">
        <f>B9-B10</f>
        <v>-817856.80000001192</v>
      </c>
      <c r="C11" s="76">
        <f t="shared" ref="C11:J11" si="1">C9-C10</f>
        <v>4101195</v>
      </c>
      <c r="D11" s="76">
        <f t="shared" si="1"/>
        <v>4880834.8799999952</v>
      </c>
      <c r="E11" s="76">
        <f t="shared" si="1"/>
        <v>5620362.2448000014</v>
      </c>
      <c r="F11" s="76">
        <f t="shared" si="1"/>
        <v>6324297.4934880063</v>
      </c>
      <c r="G11" s="76">
        <f t="shared" si="1"/>
        <v>6083930.0440972894</v>
      </c>
      <c r="H11" s="76">
        <f t="shared" si="1"/>
        <v>6618925.2888681237</v>
      </c>
      <c r="I11" s="76">
        <f t="shared" si="1"/>
        <v>6584984.7103830166</v>
      </c>
      <c r="J11" s="76">
        <f t="shared" si="1"/>
        <v>6527852.1504346775</v>
      </c>
    </row>
    <row r="12" spans="1:10" x14ac:dyDescent="0.6">
      <c r="A12" s="7" t="s">
        <v>110</v>
      </c>
      <c r="B12" s="89">
        <v>0</v>
      </c>
      <c r="C12" s="89">
        <v>0</v>
      </c>
      <c r="D12" s="89">
        <v>0</v>
      </c>
      <c r="E12" s="89">
        <v>0</v>
      </c>
      <c r="F12" s="89">
        <v>0</v>
      </c>
      <c r="G12" s="89">
        <v>0</v>
      </c>
      <c r="H12" s="89">
        <v>0</v>
      </c>
      <c r="I12" s="89">
        <v>0</v>
      </c>
      <c r="J12" s="89">
        <v>0</v>
      </c>
    </row>
    <row r="13" spans="1:10" x14ac:dyDescent="0.6">
      <c r="A13" s="7" t="s">
        <v>111</v>
      </c>
      <c r="B13" s="77">
        <f>B11</f>
        <v>-817856.80000001192</v>
      </c>
      <c r="C13" s="77">
        <f t="shared" ref="C13:J13" si="2">C11</f>
        <v>4101195</v>
      </c>
      <c r="D13" s="77">
        <f t="shared" si="2"/>
        <v>4880834.8799999952</v>
      </c>
      <c r="E13" s="77">
        <f t="shared" si="2"/>
        <v>5620362.2448000014</v>
      </c>
      <c r="F13" s="77">
        <f t="shared" si="2"/>
        <v>6324297.4934880063</v>
      </c>
      <c r="G13" s="77">
        <f t="shared" si="2"/>
        <v>6083930.0440972894</v>
      </c>
      <c r="H13" s="77">
        <f t="shared" si="2"/>
        <v>6618925.2888681237</v>
      </c>
      <c r="I13" s="77">
        <f t="shared" si="2"/>
        <v>6584984.7103830166</v>
      </c>
      <c r="J13" s="77">
        <f t="shared" si="2"/>
        <v>6527852.1504346775</v>
      </c>
    </row>
    <row r="14" spans="1:10" x14ac:dyDescent="0.6">
      <c r="A14" s="7" t="s">
        <v>112</v>
      </c>
      <c r="B14" s="77">
        <f>B13*30%</f>
        <v>-245357.04000000356</v>
      </c>
      <c r="C14" s="77">
        <f t="shared" ref="C14:J14" si="3">C13*30%</f>
        <v>1230358.5</v>
      </c>
      <c r="D14" s="77">
        <f t="shared" si="3"/>
        <v>1464250.4639999985</v>
      </c>
      <c r="E14" s="77">
        <f t="shared" si="3"/>
        <v>1686108.6734400003</v>
      </c>
      <c r="F14" s="77">
        <f t="shared" si="3"/>
        <v>1897289.2480464019</v>
      </c>
      <c r="G14" s="77">
        <f t="shared" si="3"/>
        <v>1825179.0132291869</v>
      </c>
      <c r="H14" s="77">
        <f t="shared" si="3"/>
        <v>1985677.5866604371</v>
      </c>
      <c r="I14" s="77">
        <f t="shared" si="3"/>
        <v>1975495.4131149049</v>
      </c>
      <c r="J14" s="77">
        <f t="shared" si="3"/>
        <v>1958355.6451304031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0"/>
  <sheetViews>
    <sheetView topLeftCell="A21" workbookViewId="0">
      <selection activeCell="A30" sqref="A30:E30"/>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90" t="s">
        <v>71</v>
      </c>
      <c r="B3" s="91"/>
      <c r="C3" s="91"/>
      <c r="D3" s="91"/>
      <c r="E3" s="91"/>
    </row>
    <row r="5" spans="1:7" x14ac:dyDescent="0.6">
      <c r="B5" s="6" t="s">
        <v>50</v>
      </c>
      <c r="E5" s="92">
        <f>'Ann 4'!C20/70%</f>
        <v>58773600.000000007</v>
      </c>
    </row>
    <row r="6" spans="1:7" x14ac:dyDescent="0.6">
      <c r="B6" s="6" t="s">
        <v>72</v>
      </c>
    </row>
    <row r="7" spans="1:7" x14ac:dyDescent="0.6">
      <c r="B7" s="93" t="s">
        <v>73</v>
      </c>
      <c r="D7" s="51">
        <f>E5*10%</f>
        <v>5877360.0000000009</v>
      </c>
    </row>
    <row r="8" spans="1:7" x14ac:dyDescent="0.6">
      <c r="B8" s="93" t="s">
        <v>74</v>
      </c>
      <c r="D8" s="51">
        <f>'Ann 2'!C5*100000*10%</f>
        <v>0</v>
      </c>
      <c r="E8" s="51"/>
    </row>
    <row r="9" spans="1:7" x14ac:dyDescent="0.6">
      <c r="B9" s="93" t="s">
        <v>77</v>
      </c>
      <c r="D9" s="51">
        <f>'Ann 4'!K41</f>
        <v>335023.91015625</v>
      </c>
      <c r="E9" s="51">
        <f>SUM(D7:D9)</f>
        <v>6212383.9101562509</v>
      </c>
      <c r="G9" s="19"/>
    </row>
    <row r="10" spans="1:7" x14ac:dyDescent="0.6">
      <c r="B10" s="6" t="s">
        <v>75</v>
      </c>
      <c r="E10" s="51">
        <f>E5-E9</f>
        <v>52561216.089843757</v>
      </c>
    </row>
    <row r="11" spans="1:7" x14ac:dyDescent="0.6">
      <c r="B11" s="6" t="s">
        <v>244</v>
      </c>
    </row>
    <row r="12" spans="1:7" x14ac:dyDescent="0.6">
      <c r="B12" s="6" t="s">
        <v>76</v>
      </c>
      <c r="E12" s="51">
        <f>'Ann 8'!E13</f>
        <v>1447200</v>
      </c>
    </row>
    <row r="13" spans="1:7" x14ac:dyDescent="0.6">
      <c r="B13" s="6" t="s">
        <v>78</v>
      </c>
      <c r="E13" s="51">
        <f>'Ann 9'!F12</f>
        <v>1850000</v>
      </c>
    </row>
    <row r="14" spans="1:7" x14ac:dyDescent="0.6">
      <c r="B14" s="6" t="s">
        <v>242</v>
      </c>
      <c r="E14" s="51">
        <v>25000</v>
      </c>
    </row>
    <row r="15" spans="1:7" x14ac:dyDescent="0.6">
      <c r="B15" s="6" t="s">
        <v>195</v>
      </c>
      <c r="E15" s="51">
        <f>SUM('Ann 13'!E10:E13)*100000</f>
        <v>695250</v>
      </c>
    </row>
    <row r="16" spans="1:7" x14ac:dyDescent="0.6">
      <c r="B16" s="6" t="s">
        <v>79</v>
      </c>
      <c r="E16" s="51">
        <f>SUM(E12:E15)</f>
        <v>4017450</v>
      </c>
    </row>
    <row r="18" spans="1:5" x14ac:dyDescent="0.6">
      <c r="B18" s="27" t="s">
        <v>3</v>
      </c>
      <c r="C18" s="27" t="s">
        <v>245</v>
      </c>
    </row>
    <row r="19" spans="1:5" x14ac:dyDescent="0.6">
      <c r="B19" s="7" t="s">
        <v>80</v>
      </c>
      <c r="C19" s="7">
        <f>Budgets!C15</f>
        <v>27</v>
      </c>
    </row>
    <row r="20" spans="1:5" x14ac:dyDescent="0.6">
      <c r="B20" s="7" t="s">
        <v>271</v>
      </c>
      <c r="C20" s="7"/>
    </row>
    <row r="21" spans="1:5" x14ac:dyDescent="0.6">
      <c r="B21" s="7" t="s">
        <v>288</v>
      </c>
      <c r="C21" s="7">
        <f>Budgets!D15</f>
        <v>20.5</v>
      </c>
    </row>
    <row r="22" spans="1:5" x14ac:dyDescent="0.6">
      <c r="B22" s="7" t="s">
        <v>272</v>
      </c>
      <c r="C22" s="87">
        <f>D9/Budgets!B15</f>
        <v>0.15390661069287487</v>
      </c>
    </row>
    <row r="23" spans="1:5" x14ac:dyDescent="0.6">
      <c r="B23" s="7" t="s">
        <v>273</v>
      </c>
      <c r="C23" s="7">
        <f>C19*10%</f>
        <v>2.7</v>
      </c>
    </row>
    <row r="24" spans="1:5" x14ac:dyDescent="0.6">
      <c r="B24" s="7" t="s">
        <v>274</v>
      </c>
      <c r="C24" s="87">
        <f>D8/Budgets!B11</f>
        <v>0</v>
      </c>
    </row>
    <row r="25" spans="1:5" x14ac:dyDescent="0.6">
      <c r="B25" s="7" t="s">
        <v>275</v>
      </c>
      <c r="C25" s="7">
        <f>C19-SUM(C21:C24)</f>
        <v>3.6460933893071257</v>
      </c>
    </row>
    <row r="26" spans="1:5" x14ac:dyDescent="0.6">
      <c r="B26" s="7" t="s">
        <v>243</v>
      </c>
      <c r="C26" s="89">
        <f>E16/C25</f>
        <v>1101850.5482558261</v>
      </c>
    </row>
    <row r="27" spans="1:5" x14ac:dyDescent="0.6">
      <c r="B27" s="7" t="s">
        <v>194</v>
      </c>
      <c r="C27" s="94">
        <f>C26/Budgets!B15</f>
        <v>0.50617904642402889</v>
      </c>
    </row>
    <row r="28" spans="1:5" x14ac:dyDescent="0.6">
      <c r="C28" s="31"/>
    </row>
    <row r="29" spans="1:5" ht="49" customHeight="1" x14ac:dyDescent="0.6">
      <c r="A29" s="142" t="s">
        <v>219</v>
      </c>
      <c r="B29" s="142"/>
      <c r="C29" s="142"/>
      <c r="D29" s="142"/>
      <c r="E29" s="142"/>
    </row>
    <row r="30" spans="1:5" ht="71" customHeight="1" x14ac:dyDescent="0.6">
      <c r="A30" s="142" t="s">
        <v>306</v>
      </c>
      <c r="B30" s="142"/>
      <c r="C30" s="142"/>
      <c r="D30" s="142"/>
      <c r="E30" s="142"/>
    </row>
  </sheetData>
  <mergeCells count="2">
    <mergeCell ref="A29:E29"/>
    <mergeCell ref="A30:E3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43" t="s">
        <v>82</v>
      </c>
      <c r="D3" s="143"/>
      <c r="E3" s="143"/>
      <c r="F3" s="143"/>
      <c r="G3" s="143"/>
      <c r="H3" s="143"/>
      <c r="I3" s="143"/>
      <c r="J3" s="143"/>
      <c r="K3" s="143"/>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41"/>
  <sheetViews>
    <sheetView workbookViewId="0">
      <selection activeCell="A41" sqref="A41:E41"/>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91</v>
      </c>
    </row>
    <row r="3" spans="1:7" x14ac:dyDescent="0.6">
      <c r="A3" s="74" t="s">
        <v>92</v>
      </c>
    </row>
    <row r="4" spans="1:7" x14ac:dyDescent="0.6">
      <c r="A4" s="6" t="s">
        <v>93</v>
      </c>
      <c r="D4" s="95">
        <f>'Ann 2'!C6</f>
        <v>117</v>
      </c>
    </row>
    <row r="5" spans="1:7" x14ac:dyDescent="0.6">
      <c r="A5" s="6" t="s">
        <v>307</v>
      </c>
      <c r="D5" s="95">
        <f>25%*('Ann 1'!C41-'Ann 1'!C25)</f>
        <v>32.6</v>
      </c>
    </row>
    <row r="6" spans="1:7" x14ac:dyDescent="0.6">
      <c r="A6" s="6" t="s">
        <v>94</v>
      </c>
      <c r="D6" s="96">
        <v>0.06</v>
      </c>
    </row>
    <row r="7" spans="1:7" x14ac:dyDescent="0.6">
      <c r="A7" s="6" t="s">
        <v>95</v>
      </c>
      <c r="D7" s="97" t="s">
        <v>153</v>
      </c>
    </row>
    <row r="9" spans="1:7" x14ac:dyDescent="0.6">
      <c r="A9" s="27" t="s">
        <v>69</v>
      </c>
      <c r="B9" s="27" t="s">
        <v>96</v>
      </c>
      <c r="C9" s="27" t="s">
        <v>97</v>
      </c>
      <c r="D9" s="27" t="s">
        <v>99</v>
      </c>
      <c r="E9" s="27" t="s">
        <v>98</v>
      </c>
    </row>
    <row r="10" spans="1:7" x14ac:dyDescent="0.6">
      <c r="A10" s="144">
        <v>1</v>
      </c>
      <c r="B10" s="7">
        <v>1</v>
      </c>
      <c r="C10" s="82">
        <f>$D$4</f>
        <v>117</v>
      </c>
      <c r="D10" s="7">
        <v>0</v>
      </c>
      <c r="E10" s="7">
        <f>C10*$D$6/4</f>
        <v>1.7549999999999999</v>
      </c>
    </row>
    <row r="11" spans="1:7" x14ac:dyDescent="0.6">
      <c r="A11" s="144"/>
      <c r="B11" s="7">
        <v>2</v>
      </c>
      <c r="C11" s="82">
        <f>$D$4</f>
        <v>117</v>
      </c>
      <c r="D11" s="7">
        <v>0</v>
      </c>
      <c r="E11" s="7">
        <f t="shared" ref="E11:E37" si="0">C11*$D$6/4</f>
        <v>1.7549999999999999</v>
      </c>
      <c r="G11" s="98"/>
    </row>
    <row r="12" spans="1:7" x14ac:dyDescent="0.6">
      <c r="A12" s="144"/>
      <c r="B12" s="7">
        <v>3</v>
      </c>
      <c r="C12" s="82">
        <f>$D$4</f>
        <v>117</v>
      </c>
      <c r="D12" s="7">
        <f>D4/26</f>
        <v>4.5</v>
      </c>
      <c r="E12" s="7">
        <f t="shared" si="0"/>
        <v>1.7549999999999999</v>
      </c>
    </row>
    <row r="13" spans="1:7" x14ac:dyDescent="0.6">
      <c r="A13" s="144"/>
      <c r="B13" s="7">
        <v>4</v>
      </c>
      <c r="C13" s="7">
        <f t="shared" ref="C13:C18" si="1">C12-D12</f>
        <v>112.5</v>
      </c>
      <c r="D13" s="7">
        <f>D12</f>
        <v>4.5</v>
      </c>
      <c r="E13" s="7">
        <f t="shared" si="0"/>
        <v>1.6875</v>
      </c>
    </row>
    <row r="14" spans="1:7" x14ac:dyDescent="0.6">
      <c r="A14" s="144">
        <v>2</v>
      </c>
      <c r="B14" s="7">
        <v>1</v>
      </c>
      <c r="C14" s="7">
        <f t="shared" si="1"/>
        <v>108</v>
      </c>
      <c r="D14" s="7">
        <f t="shared" ref="D14:D36" si="2">D13</f>
        <v>4.5</v>
      </c>
      <c r="E14" s="7">
        <f t="shared" si="0"/>
        <v>1.6199999999999999</v>
      </c>
    </row>
    <row r="15" spans="1:7" x14ac:dyDescent="0.6">
      <c r="A15" s="144"/>
      <c r="B15" s="7">
        <v>2</v>
      </c>
      <c r="C15" s="7">
        <f t="shared" si="1"/>
        <v>103.5</v>
      </c>
      <c r="D15" s="7">
        <f t="shared" si="2"/>
        <v>4.5</v>
      </c>
      <c r="E15" s="7">
        <f t="shared" si="0"/>
        <v>1.5525</v>
      </c>
    </row>
    <row r="16" spans="1:7" x14ac:dyDescent="0.6">
      <c r="A16" s="144"/>
      <c r="B16" s="7">
        <v>3</v>
      </c>
      <c r="C16" s="7">
        <f t="shared" si="1"/>
        <v>99</v>
      </c>
      <c r="D16" s="7">
        <f t="shared" si="2"/>
        <v>4.5</v>
      </c>
      <c r="E16" s="7">
        <f t="shared" si="0"/>
        <v>1.4849999999999999</v>
      </c>
    </row>
    <row r="17" spans="1:6" x14ac:dyDescent="0.6">
      <c r="A17" s="144"/>
      <c r="B17" s="7">
        <v>4</v>
      </c>
      <c r="C17" s="7">
        <f t="shared" si="1"/>
        <v>94.5</v>
      </c>
      <c r="D17" s="7">
        <f t="shared" si="2"/>
        <v>4.5</v>
      </c>
      <c r="E17" s="7">
        <f t="shared" si="0"/>
        <v>1.4175</v>
      </c>
    </row>
    <row r="18" spans="1:6" x14ac:dyDescent="0.6">
      <c r="A18" s="144">
        <v>3</v>
      </c>
      <c r="B18" s="7">
        <v>1</v>
      </c>
      <c r="C18" s="7">
        <f t="shared" si="1"/>
        <v>90</v>
      </c>
      <c r="D18" s="7">
        <f t="shared" si="2"/>
        <v>4.5</v>
      </c>
      <c r="E18" s="7">
        <f t="shared" si="0"/>
        <v>1.3499999999999999</v>
      </c>
    </row>
    <row r="19" spans="1:6" x14ac:dyDescent="0.6">
      <c r="A19" s="144"/>
      <c r="B19" s="7">
        <v>2</v>
      </c>
      <c r="C19" s="7">
        <f t="shared" ref="C19:C37" si="3">C18-D18</f>
        <v>85.5</v>
      </c>
      <c r="D19" s="7">
        <f t="shared" si="2"/>
        <v>4.5</v>
      </c>
      <c r="E19" s="7">
        <f t="shared" si="0"/>
        <v>1.2825</v>
      </c>
    </row>
    <row r="20" spans="1:6" x14ac:dyDescent="0.6">
      <c r="A20" s="144"/>
      <c r="B20" s="7">
        <v>3</v>
      </c>
      <c r="C20" s="7">
        <f t="shared" si="3"/>
        <v>81</v>
      </c>
      <c r="D20" s="7">
        <f t="shared" si="2"/>
        <v>4.5</v>
      </c>
      <c r="E20" s="7">
        <f t="shared" si="0"/>
        <v>1.2149999999999999</v>
      </c>
    </row>
    <row r="21" spans="1:6" x14ac:dyDescent="0.6">
      <c r="A21" s="144"/>
      <c r="B21" s="7">
        <v>4</v>
      </c>
      <c r="C21" s="7">
        <f t="shared" si="3"/>
        <v>76.5</v>
      </c>
      <c r="D21" s="7">
        <f t="shared" si="2"/>
        <v>4.5</v>
      </c>
      <c r="E21" s="7">
        <f t="shared" si="0"/>
        <v>1.1475</v>
      </c>
    </row>
    <row r="22" spans="1:6" x14ac:dyDescent="0.6">
      <c r="A22" s="144">
        <v>4</v>
      </c>
      <c r="B22" s="7">
        <v>1</v>
      </c>
      <c r="C22" s="7">
        <f t="shared" si="3"/>
        <v>72</v>
      </c>
      <c r="D22" s="7">
        <f t="shared" si="2"/>
        <v>4.5</v>
      </c>
      <c r="E22" s="7">
        <f t="shared" si="0"/>
        <v>1.08</v>
      </c>
    </row>
    <row r="23" spans="1:6" x14ac:dyDescent="0.6">
      <c r="A23" s="144"/>
      <c r="B23" s="7">
        <v>2</v>
      </c>
      <c r="C23" s="7">
        <f t="shared" si="3"/>
        <v>67.5</v>
      </c>
      <c r="D23" s="7">
        <f t="shared" si="2"/>
        <v>4.5</v>
      </c>
      <c r="E23" s="7">
        <f t="shared" si="0"/>
        <v>1.0125</v>
      </c>
    </row>
    <row r="24" spans="1:6" x14ac:dyDescent="0.6">
      <c r="A24" s="144"/>
      <c r="B24" s="7">
        <v>3</v>
      </c>
      <c r="C24" s="7">
        <f t="shared" si="3"/>
        <v>63</v>
      </c>
      <c r="D24" s="7">
        <f t="shared" si="2"/>
        <v>4.5</v>
      </c>
      <c r="E24" s="7">
        <f t="shared" si="0"/>
        <v>0.94499999999999995</v>
      </c>
    </row>
    <row r="25" spans="1:6" x14ac:dyDescent="0.6">
      <c r="A25" s="144"/>
      <c r="B25" s="7">
        <v>4</v>
      </c>
      <c r="C25" s="7">
        <f t="shared" si="3"/>
        <v>58.5</v>
      </c>
      <c r="D25" s="7">
        <f t="shared" si="2"/>
        <v>4.5</v>
      </c>
      <c r="E25" s="7">
        <f t="shared" si="0"/>
        <v>0.87749999999999995</v>
      </c>
    </row>
    <row r="26" spans="1:6" x14ac:dyDescent="0.6">
      <c r="A26" s="144">
        <v>5</v>
      </c>
      <c r="B26" s="7">
        <v>1</v>
      </c>
      <c r="C26" s="7">
        <f t="shared" si="3"/>
        <v>54</v>
      </c>
      <c r="D26" s="7">
        <f t="shared" si="2"/>
        <v>4.5</v>
      </c>
      <c r="E26" s="7">
        <f t="shared" si="0"/>
        <v>0.80999999999999994</v>
      </c>
    </row>
    <row r="27" spans="1:6" x14ac:dyDescent="0.6">
      <c r="A27" s="144"/>
      <c r="B27" s="7">
        <v>2</v>
      </c>
      <c r="C27" s="7">
        <f t="shared" si="3"/>
        <v>49.5</v>
      </c>
      <c r="D27" s="7">
        <f t="shared" si="2"/>
        <v>4.5</v>
      </c>
      <c r="E27" s="7">
        <f t="shared" si="0"/>
        <v>0.74249999999999994</v>
      </c>
    </row>
    <row r="28" spans="1:6" x14ac:dyDescent="0.6">
      <c r="A28" s="144"/>
      <c r="B28" s="7">
        <v>3</v>
      </c>
      <c r="C28" s="7">
        <f t="shared" si="3"/>
        <v>45</v>
      </c>
      <c r="D28" s="7">
        <f t="shared" si="2"/>
        <v>4.5</v>
      </c>
      <c r="E28" s="7">
        <f t="shared" si="0"/>
        <v>0.67499999999999993</v>
      </c>
    </row>
    <row r="29" spans="1:6" x14ac:dyDescent="0.6">
      <c r="A29" s="144"/>
      <c r="B29" s="7">
        <v>4</v>
      </c>
      <c r="C29" s="7">
        <f t="shared" si="3"/>
        <v>40.5</v>
      </c>
      <c r="D29" s="7">
        <f t="shared" si="2"/>
        <v>4.5</v>
      </c>
      <c r="E29" s="7">
        <f t="shared" si="0"/>
        <v>0.60749999999999993</v>
      </c>
    </row>
    <row r="30" spans="1:6" x14ac:dyDescent="0.6">
      <c r="A30" s="144">
        <v>6</v>
      </c>
      <c r="B30" s="7">
        <v>1</v>
      </c>
      <c r="C30" s="7">
        <f t="shared" si="3"/>
        <v>36</v>
      </c>
      <c r="D30" s="7">
        <v>3.4</v>
      </c>
      <c r="E30" s="7">
        <f t="shared" si="0"/>
        <v>0.54</v>
      </c>
      <c r="F30" s="95"/>
    </row>
    <row r="31" spans="1:6" x14ac:dyDescent="0.6">
      <c r="A31" s="144"/>
      <c r="B31" s="7">
        <v>2</v>
      </c>
      <c r="C31" s="7">
        <f t="shared" si="3"/>
        <v>32.6</v>
      </c>
      <c r="D31" s="7">
        <v>0</v>
      </c>
      <c r="E31" s="7">
        <v>0</v>
      </c>
    </row>
    <row r="32" spans="1:6" x14ac:dyDescent="0.6">
      <c r="A32" s="144"/>
      <c r="B32" s="7">
        <v>3</v>
      </c>
      <c r="C32" s="7">
        <v>0</v>
      </c>
      <c r="D32" s="7">
        <v>0</v>
      </c>
      <c r="E32" s="7">
        <v>0</v>
      </c>
    </row>
    <row r="33" spans="1:5" x14ac:dyDescent="0.6">
      <c r="A33" s="144"/>
      <c r="B33" s="7">
        <v>4</v>
      </c>
      <c r="C33" s="7">
        <f t="shared" si="3"/>
        <v>0</v>
      </c>
      <c r="D33" s="7">
        <v>0</v>
      </c>
      <c r="E33" s="7">
        <v>0</v>
      </c>
    </row>
    <row r="34" spans="1:5" x14ac:dyDescent="0.6">
      <c r="A34" s="144">
        <v>7</v>
      </c>
      <c r="B34" s="7">
        <v>1</v>
      </c>
      <c r="C34" s="7">
        <f t="shared" si="3"/>
        <v>0</v>
      </c>
      <c r="D34" s="7">
        <v>0</v>
      </c>
      <c r="E34" s="7">
        <v>0</v>
      </c>
    </row>
    <row r="35" spans="1:5" x14ac:dyDescent="0.6">
      <c r="A35" s="144"/>
      <c r="B35" s="7">
        <v>2</v>
      </c>
      <c r="C35" s="7">
        <f t="shared" si="3"/>
        <v>0</v>
      </c>
      <c r="D35" s="7">
        <v>0</v>
      </c>
      <c r="E35" s="7">
        <v>0</v>
      </c>
    </row>
    <row r="36" spans="1:5" x14ac:dyDescent="0.6">
      <c r="A36" s="144"/>
      <c r="B36" s="7">
        <v>3</v>
      </c>
      <c r="C36" s="7">
        <f t="shared" si="3"/>
        <v>0</v>
      </c>
      <c r="D36" s="7">
        <v>0</v>
      </c>
      <c r="E36" s="7">
        <v>0</v>
      </c>
    </row>
    <row r="37" spans="1:5" x14ac:dyDescent="0.6">
      <c r="A37" s="144"/>
      <c r="B37" s="7">
        <v>4</v>
      </c>
      <c r="C37" s="7">
        <f t="shared" si="3"/>
        <v>0</v>
      </c>
      <c r="D37" s="7">
        <v>0</v>
      </c>
      <c r="E37" s="7">
        <v>0</v>
      </c>
    </row>
    <row r="39" spans="1:5" ht="67" customHeight="1" x14ac:dyDescent="0.6">
      <c r="A39" s="142" t="s">
        <v>310</v>
      </c>
      <c r="B39" s="142"/>
      <c r="C39" s="142"/>
      <c r="D39" s="142"/>
      <c r="E39" s="142"/>
    </row>
    <row r="40" spans="1:5" ht="51.5" customHeight="1" x14ac:dyDescent="0.6">
      <c r="A40" s="142" t="s">
        <v>311</v>
      </c>
      <c r="B40" s="142"/>
      <c r="C40" s="142"/>
      <c r="D40" s="142"/>
      <c r="E40" s="142"/>
    </row>
    <row r="41" spans="1:5" x14ac:dyDescent="0.6">
      <c r="A41" s="142" t="s">
        <v>309</v>
      </c>
      <c r="B41" s="142"/>
      <c r="C41" s="142"/>
      <c r="D41" s="142"/>
      <c r="E41" s="142"/>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topLeftCell="A9" workbookViewId="0">
      <selection activeCell="C18" sqref="C18"/>
    </sheetView>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289</v>
      </c>
      <c r="B1" s="5"/>
    </row>
    <row r="2" spans="1:11" x14ac:dyDescent="0.6">
      <c r="A2" s="5"/>
      <c r="B2" s="5"/>
    </row>
    <row r="3" spans="1:11" x14ac:dyDescent="0.6">
      <c r="A3" s="27" t="s">
        <v>3</v>
      </c>
      <c r="B3" s="99">
        <v>0</v>
      </c>
      <c r="C3" s="27" t="s">
        <v>39</v>
      </c>
      <c r="D3" s="27" t="s">
        <v>40</v>
      </c>
      <c r="E3" s="27" t="s">
        <v>41</v>
      </c>
      <c r="F3" s="27" t="s">
        <v>42</v>
      </c>
      <c r="G3" s="27" t="s">
        <v>43</v>
      </c>
      <c r="H3" s="27" t="s">
        <v>44</v>
      </c>
      <c r="I3" s="27" t="s">
        <v>45</v>
      </c>
      <c r="J3" s="27" t="s">
        <v>46</v>
      </c>
      <c r="K3" s="27" t="s">
        <v>47</v>
      </c>
    </row>
    <row r="4" spans="1:11" x14ac:dyDescent="0.6">
      <c r="A4" s="7" t="s">
        <v>158</v>
      </c>
      <c r="B4" s="76">
        <f>'Ann 2'!C7*100000</f>
        <v>360000</v>
      </c>
      <c r="C4" s="76">
        <f>B21</f>
        <v>360000</v>
      </c>
      <c r="D4" s="76">
        <f>C21</f>
        <v>3467316.2799999947</v>
      </c>
      <c r="E4" s="76">
        <f t="shared" ref="E4:K4" si="0">D21</f>
        <v>2756426.4399999892</v>
      </c>
      <c r="F4" s="76">
        <f t="shared" si="0"/>
        <v>2721931.5831999946</v>
      </c>
      <c r="G4" s="76">
        <f t="shared" si="0"/>
        <v>2568741.8074719831</v>
      </c>
      <c r="H4" s="76">
        <f t="shared" si="0"/>
        <v>2320317.0290603093</v>
      </c>
      <c r="I4" s="76">
        <f t="shared" si="0"/>
        <v>1754692.2608589297</v>
      </c>
      <c r="J4" s="76">
        <f t="shared" si="0"/>
        <v>4117549.9620817155</v>
      </c>
      <c r="K4" s="76">
        <f t="shared" si="0"/>
        <v>6208259.3971994072</v>
      </c>
    </row>
    <row r="5" spans="1:11" x14ac:dyDescent="0.6">
      <c r="A5" s="7" t="s">
        <v>196</v>
      </c>
      <c r="B5" s="76">
        <f>'Ann 5'!C18</f>
        <v>1340000</v>
      </c>
      <c r="C5" s="76">
        <v>0</v>
      </c>
      <c r="D5" s="76">
        <v>0</v>
      </c>
      <c r="E5" s="76">
        <v>0</v>
      </c>
      <c r="F5" s="76">
        <v>0</v>
      </c>
      <c r="G5" s="76">
        <v>0</v>
      </c>
      <c r="H5" s="76">
        <v>0</v>
      </c>
      <c r="I5" s="76">
        <v>0</v>
      </c>
      <c r="J5" s="76">
        <v>0</v>
      </c>
      <c r="K5" s="76">
        <v>0</v>
      </c>
    </row>
    <row r="6" spans="1:11" x14ac:dyDescent="0.6">
      <c r="A6" s="7" t="s">
        <v>197</v>
      </c>
      <c r="B6" s="76">
        <f>'Ann 13'!D4*100000</f>
        <v>11700000</v>
      </c>
      <c r="C6" s="76">
        <v>0</v>
      </c>
      <c r="D6" s="76">
        <v>0</v>
      </c>
      <c r="E6" s="76">
        <v>0</v>
      </c>
      <c r="F6" s="76">
        <v>0</v>
      </c>
      <c r="G6" s="76">
        <v>0</v>
      </c>
      <c r="H6" s="76">
        <v>0</v>
      </c>
      <c r="I6" s="76">
        <v>0</v>
      </c>
      <c r="J6" s="76">
        <v>0</v>
      </c>
      <c r="K6" s="76">
        <v>0</v>
      </c>
    </row>
    <row r="7" spans="1:11" x14ac:dyDescent="0.6">
      <c r="A7" s="7" t="s">
        <v>198</v>
      </c>
      <c r="B7" s="76">
        <f>'Ann 9'!F9*100000</f>
        <v>13000000</v>
      </c>
      <c r="C7" s="76">
        <v>0</v>
      </c>
      <c r="D7" s="76">
        <v>0</v>
      </c>
      <c r="E7" s="76">
        <v>0</v>
      </c>
      <c r="F7" s="76">
        <v>0</v>
      </c>
      <c r="G7" s="76">
        <v>0</v>
      </c>
      <c r="H7" s="76">
        <v>0</v>
      </c>
      <c r="I7" s="76">
        <v>0</v>
      </c>
      <c r="J7" s="76">
        <v>0</v>
      </c>
      <c r="K7" s="76">
        <v>0</v>
      </c>
    </row>
    <row r="8" spans="1:11" x14ac:dyDescent="0.6">
      <c r="A8" s="7" t="s">
        <v>265</v>
      </c>
      <c r="B8" s="76">
        <f>'Ann 1'!C8*100000</f>
        <v>0</v>
      </c>
      <c r="C8" s="76"/>
      <c r="D8" s="76"/>
      <c r="E8" s="76"/>
      <c r="F8" s="76"/>
      <c r="G8" s="76"/>
      <c r="H8" s="76"/>
      <c r="I8" s="76"/>
      <c r="J8" s="76"/>
      <c r="K8" s="76"/>
    </row>
    <row r="9" spans="1:11" x14ac:dyDescent="0.6">
      <c r="A9" s="7" t="s">
        <v>159</v>
      </c>
      <c r="B9" s="76"/>
      <c r="C9" s="76">
        <f>'Ann 4'!C20-'Ann 5'!C12</f>
        <v>32913216</v>
      </c>
      <c r="D9" s="76">
        <f>'Ann 4'!D20-'Ann 5'!D12</f>
        <v>38790576.000000007</v>
      </c>
      <c r="E9" s="76">
        <f>'Ann 4'!E20-'Ann 5'!E12</f>
        <v>41376614.400000006</v>
      </c>
      <c r="F9" s="76">
        <f>'Ann 4'!F20-'Ann 5'!F12</f>
        <v>43962652.800000004</v>
      </c>
      <c r="G9" s="76">
        <f>'Ann 4'!G20-'Ann 5'!G12</f>
        <v>46548691.200000003</v>
      </c>
      <c r="H9" s="76">
        <f>'Ann 4'!H20-'Ann 5'!H12</f>
        <v>49134729.600000009</v>
      </c>
      <c r="I9" s="76">
        <f>'Ann 4'!I20-'Ann 5'!I12</f>
        <v>51720768.000000007</v>
      </c>
      <c r="J9" s="76">
        <f>'Ann 4'!J20-'Ann 5'!J12</f>
        <v>51720768.000000007</v>
      </c>
      <c r="K9" s="76">
        <f>'Ann 4'!K20-'Ann 5'!K12</f>
        <v>51720768.000000007</v>
      </c>
    </row>
    <row r="10" spans="1:11" x14ac:dyDescent="0.6">
      <c r="A10" s="7" t="s">
        <v>174</v>
      </c>
      <c r="B10" s="76">
        <v>0</v>
      </c>
      <c r="C10" s="76">
        <v>0</v>
      </c>
      <c r="D10" s="76">
        <f>'Ann 5'!C24</f>
        <v>11339060.040000003</v>
      </c>
      <c r="E10" s="76">
        <f>'Ann 5'!D24</f>
        <v>12148992.900000002</v>
      </c>
      <c r="F10" s="76">
        <f>'Ann 5'!E24</f>
        <v>12958925.760000004</v>
      </c>
      <c r="G10" s="76">
        <f>'Ann 5'!F24</f>
        <v>13768858.620000001</v>
      </c>
      <c r="H10" s="76">
        <f>'Ann 5'!G24</f>
        <v>14578791.48</v>
      </c>
      <c r="I10" s="76">
        <f>'Ann 5'!H24</f>
        <v>15388724.34</v>
      </c>
      <c r="J10" s="76">
        <f>'Ann 5'!I24</f>
        <v>16198657.199999999</v>
      </c>
      <c r="K10" s="76">
        <f>'Ann 5'!J24</f>
        <v>16198657.199999999</v>
      </c>
    </row>
    <row r="11" spans="1:11" x14ac:dyDescent="0.6">
      <c r="A11" s="7" t="s">
        <v>175</v>
      </c>
      <c r="B11" s="76">
        <v>0</v>
      </c>
      <c r="C11" s="76">
        <v>0</v>
      </c>
      <c r="D11" s="76">
        <f>'Ann 5'!C12</f>
        <v>8228304</v>
      </c>
      <c r="E11" s="76">
        <f>'Ann 5'!D12</f>
        <v>9697644.0000000019</v>
      </c>
      <c r="F11" s="76">
        <f>'Ann 5'!E12</f>
        <v>10344153.600000001</v>
      </c>
      <c r="G11" s="76">
        <f>'Ann 5'!F12</f>
        <v>10990663.200000001</v>
      </c>
      <c r="H11" s="76">
        <f>'Ann 5'!G12</f>
        <v>11637172.800000001</v>
      </c>
      <c r="I11" s="76">
        <f>'Ann 5'!H12</f>
        <v>12283682.400000002</v>
      </c>
      <c r="J11" s="76">
        <f>'Ann 5'!I12</f>
        <v>12930192.000000002</v>
      </c>
      <c r="K11" s="76">
        <f>'Ann 5'!J12</f>
        <v>12930192.000000002</v>
      </c>
    </row>
    <row r="12" spans="1:11" x14ac:dyDescent="0.6">
      <c r="A12" s="7" t="s">
        <v>176</v>
      </c>
      <c r="B12" s="76">
        <v>0</v>
      </c>
      <c r="C12" s="76">
        <f>'Ann 4'!C11+'Ann 4'!C17-'Ann 5'!C24</f>
        <v>28420006.760000009</v>
      </c>
      <c r="D12" s="76">
        <f>'Ann 4'!D11+'Ann 4'!D17-'Ann 5'!D24</f>
        <v>30420182.100000005</v>
      </c>
      <c r="E12" s="76">
        <f>'Ann 4'!E11+'Ann 4'!E17-'Ann 5'!E24</f>
        <v>32426742.360000007</v>
      </c>
      <c r="F12" s="76">
        <f>'Ann 4'!F11+'Ann 4'!F17-'Ann 5'!F24</f>
        <v>34440058.885200009</v>
      </c>
      <c r="G12" s="76">
        <f>'Ann 4'!G11+'Ann 4'!G17-'Ann 5'!G24</f>
        <v>36460524.714011997</v>
      </c>
      <c r="H12" s="76">
        <f>'Ann 4'!H11+'Ann 4'!H17-'Ann 5'!H24</f>
        <v>38488555.850277722</v>
      </c>
      <c r="I12" s="76">
        <f>'Ann 4'!I11+'Ann 4'!I17-'Ann 5'!I24</f>
        <v>40524592.610350639</v>
      </c>
      <c r="J12" s="76">
        <f>'Ann 4'!J11+'Ann 4'!J17-'Ann 5'!J24</f>
        <v>40662506.513952926</v>
      </c>
      <c r="K12" s="76">
        <f>'Ann 4'!K11+'Ann 4'!K17-'Ann 5'!K24</f>
        <v>40808547.841250882</v>
      </c>
    </row>
    <row r="13" spans="1:11" x14ac:dyDescent="0.6">
      <c r="A13" s="7" t="s">
        <v>241</v>
      </c>
      <c r="B13" s="76">
        <f>'Ann 4'!C29</f>
        <v>40000</v>
      </c>
      <c r="C13" s="76">
        <v>0</v>
      </c>
      <c r="D13" s="76">
        <v>0</v>
      </c>
      <c r="E13" s="76">
        <v>0</v>
      </c>
      <c r="F13" s="76">
        <v>0</v>
      </c>
      <c r="G13" s="76">
        <v>0</v>
      </c>
      <c r="H13" s="76">
        <v>0</v>
      </c>
      <c r="I13" s="76">
        <v>0</v>
      </c>
      <c r="J13" s="76">
        <v>0</v>
      </c>
      <c r="K13" s="76">
        <v>0</v>
      </c>
    </row>
    <row r="14" spans="1:11" x14ac:dyDescent="0.6">
      <c r="A14" s="7" t="s">
        <v>160</v>
      </c>
      <c r="B14" s="76">
        <v>0</v>
      </c>
      <c r="C14" s="76">
        <f>'Ann 4'!C26</f>
        <v>731250</v>
      </c>
      <c r="D14" s="76">
        <f>'Ann 4'!D26</f>
        <v>643499.99999999988</v>
      </c>
      <c r="E14" s="76">
        <f>'Ann 4'!E26</f>
        <v>535500</v>
      </c>
      <c r="F14" s="76">
        <f>'Ann 4'!F26</f>
        <v>427500</v>
      </c>
      <c r="G14" s="76">
        <f>'Ann 4'!G26</f>
        <v>319499.99999999994</v>
      </c>
      <c r="H14" s="76">
        <f>'Ann 4'!H26</f>
        <v>90000</v>
      </c>
      <c r="I14" s="76">
        <f>'Ann 4'!I26</f>
        <v>36000</v>
      </c>
      <c r="J14" s="76">
        <f>'Ann 4'!J26</f>
        <v>36000</v>
      </c>
      <c r="K14" s="76">
        <f>'Ann 4'!K26</f>
        <v>36000</v>
      </c>
    </row>
    <row r="15" spans="1:11" x14ac:dyDescent="0.6">
      <c r="A15" s="7"/>
      <c r="B15" s="76">
        <f>B4+B5+B6-B7-B8-B13</f>
        <v>360000</v>
      </c>
      <c r="C15" s="76">
        <f>C4+C9-C10+C11-C12-C14+C5+C6-C7</f>
        <v>4121959.2399999909</v>
      </c>
      <c r="D15" s="76">
        <f>D4+D9-D10+D11-D12-D14+D5+D6-D7</f>
        <v>8083454.1399999894</v>
      </c>
      <c r="E15" s="76">
        <f>E4+E9-E10+E11-E12-E14+E5+E6-E7</f>
        <v>8719449.5799999908</v>
      </c>
      <c r="F15" s="76">
        <f t="shared" ref="F15:K15" si="1">F4+F9-F10+F11-F12-F14+F5+F6-F7</f>
        <v>9202253.3379999846</v>
      </c>
      <c r="G15" s="76">
        <f t="shared" si="1"/>
        <v>9559212.8734599948</v>
      </c>
      <c r="H15" s="76">
        <f t="shared" si="1"/>
        <v>9934872.098782599</v>
      </c>
      <c r="I15" s="76">
        <f t="shared" si="1"/>
        <v>9809825.7105083019</v>
      </c>
      <c r="J15" s="76">
        <f t="shared" si="1"/>
        <v>11871346.248128802</v>
      </c>
      <c r="K15" s="76">
        <f t="shared" si="1"/>
        <v>13816014.355948538</v>
      </c>
    </row>
    <row r="16" spans="1:11" x14ac:dyDescent="0.6">
      <c r="A16" s="7" t="s">
        <v>312</v>
      </c>
      <c r="B16" s="76">
        <v>0</v>
      </c>
      <c r="C16" s="76">
        <f>'Ann 4'!C33</f>
        <v>-245357.04000000356</v>
      </c>
      <c r="D16" s="76">
        <f>'Ann 4'!D33</f>
        <v>1230358.5</v>
      </c>
      <c r="E16" s="76">
        <f>'Ann 4'!E33</f>
        <v>1464250.4639999985</v>
      </c>
      <c r="F16" s="76">
        <f>'Ann 4'!F33</f>
        <v>1686108.6734400003</v>
      </c>
      <c r="G16" s="76">
        <f>'Ann 4'!G33</f>
        <v>1897289.2480464019</v>
      </c>
      <c r="H16" s="76">
        <f>'Ann 4'!H33</f>
        <v>1825179.0132291869</v>
      </c>
      <c r="I16" s="76">
        <f>'Ann 4'!I33</f>
        <v>1985677.5866604371</v>
      </c>
      <c r="J16" s="76">
        <f>'Ann 4'!J33</f>
        <v>1975495.4131149049</v>
      </c>
      <c r="K16" s="76">
        <f>'Ann 4'!K33</f>
        <v>1958355.6451304031</v>
      </c>
    </row>
    <row r="17" spans="1:12" x14ac:dyDescent="0.6">
      <c r="A17" s="7"/>
      <c r="B17" s="76">
        <v>0</v>
      </c>
      <c r="C17" s="76">
        <f>C15-C16</f>
        <v>4367316.2799999947</v>
      </c>
      <c r="D17" s="76">
        <f t="shared" ref="D17:K17" si="2">D15-D16</f>
        <v>6853095.6399999894</v>
      </c>
      <c r="E17" s="76">
        <f t="shared" si="2"/>
        <v>7255199.115999992</v>
      </c>
      <c r="F17" s="76">
        <f t="shared" si="2"/>
        <v>7516144.6645599846</v>
      </c>
      <c r="G17" s="76">
        <f t="shared" si="2"/>
        <v>7661923.6254135929</v>
      </c>
      <c r="H17" s="76">
        <f t="shared" si="2"/>
        <v>8109693.0855534123</v>
      </c>
      <c r="I17" s="76">
        <f t="shared" si="2"/>
        <v>7824148.1238478646</v>
      </c>
      <c r="J17" s="76">
        <f t="shared" si="2"/>
        <v>9895850.8350138962</v>
      </c>
      <c r="K17" s="76">
        <f t="shared" si="2"/>
        <v>11857658.710818134</v>
      </c>
    </row>
    <row r="18" spans="1:12" x14ac:dyDescent="0.6">
      <c r="A18" s="7" t="s">
        <v>177</v>
      </c>
      <c r="B18" s="76">
        <v>0</v>
      </c>
      <c r="C18" s="76">
        <f>'Ann 4'!C35</f>
        <v>0</v>
      </c>
      <c r="D18" s="76">
        <f>'Ann 4'!D35</f>
        <v>2296669.2000000002</v>
      </c>
      <c r="E18" s="76">
        <f>'Ann 4'!E35</f>
        <v>2733267.5327999974</v>
      </c>
      <c r="F18" s="76">
        <f>'Ann 4'!F35</f>
        <v>3147402.8570880014</v>
      </c>
      <c r="G18" s="76">
        <f>'Ann 4'!G35</f>
        <v>3541606.5963532836</v>
      </c>
      <c r="H18" s="76">
        <f>'Ann 4'!H35</f>
        <v>6015000.8246944826</v>
      </c>
      <c r="I18" s="76">
        <f>'Ann 4'!I35</f>
        <v>3706598.1617661491</v>
      </c>
      <c r="J18" s="76">
        <f>'Ann 4'!J35</f>
        <v>3687591.437814489</v>
      </c>
      <c r="K18" s="76">
        <f>'Ann 4'!K35</f>
        <v>3655597.2042434197</v>
      </c>
    </row>
    <row r="19" spans="1:12" x14ac:dyDescent="0.6">
      <c r="A19" s="7"/>
      <c r="B19" s="76">
        <v>0</v>
      </c>
      <c r="C19" s="76">
        <f>C17-C18</f>
        <v>4367316.2799999947</v>
      </c>
      <c r="D19" s="76">
        <f t="shared" ref="D19:K19" si="3">D17-D18</f>
        <v>4556426.4399999892</v>
      </c>
      <c r="E19" s="76">
        <f t="shared" si="3"/>
        <v>4521931.5831999946</v>
      </c>
      <c r="F19" s="76">
        <f t="shared" si="3"/>
        <v>4368741.8074719831</v>
      </c>
      <c r="G19" s="76">
        <f t="shared" si="3"/>
        <v>4120317.0290603093</v>
      </c>
      <c r="H19" s="76">
        <f t="shared" si="3"/>
        <v>2094692.2608589297</v>
      </c>
      <c r="I19" s="76">
        <f t="shared" si="3"/>
        <v>4117549.9620817155</v>
      </c>
      <c r="J19" s="76">
        <f t="shared" si="3"/>
        <v>6208259.3971994072</v>
      </c>
      <c r="K19" s="76">
        <f t="shared" si="3"/>
        <v>8202061.5065747146</v>
      </c>
    </row>
    <row r="20" spans="1:12" x14ac:dyDescent="0.6">
      <c r="A20" s="7" t="s">
        <v>178</v>
      </c>
      <c r="B20" s="76">
        <v>0</v>
      </c>
      <c r="C20" s="76">
        <f>SUM('Ann 13'!D10:D13)*100000</f>
        <v>900000</v>
      </c>
      <c r="D20" s="76">
        <f>SUM('Ann 13'!D14:D17)*100000</f>
        <v>1800000</v>
      </c>
      <c r="E20" s="76">
        <f>SUM('Ann 13'!D18:D21)*100000</f>
        <v>1800000</v>
      </c>
      <c r="F20" s="76">
        <f>SUM('Ann 13'!D22:D25)*100000</f>
        <v>1800000</v>
      </c>
      <c r="G20" s="76">
        <f>SUM('Ann 13'!D26:D29)*100000</f>
        <v>1800000</v>
      </c>
      <c r="H20" s="76">
        <f>SUM('Ann 13'!D30:D33)*100000</f>
        <v>340000</v>
      </c>
      <c r="I20" s="76">
        <f>SUM('Ann 13'!D34:D37)*100000</f>
        <v>0</v>
      </c>
      <c r="J20" s="76">
        <v>0</v>
      </c>
      <c r="K20" s="76">
        <v>0</v>
      </c>
    </row>
    <row r="21" spans="1:12" x14ac:dyDescent="0.6">
      <c r="A21" s="7" t="s">
        <v>179</v>
      </c>
      <c r="B21" s="76">
        <f>B4+B5+B6-B7-B13-B8</f>
        <v>360000</v>
      </c>
      <c r="C21" s="76">
        <f>C19-C20</f>
        <v>3467316.2799999947</v>
      </c>
      <c r="D21" s="76">
        <f>D19-D20</f>
        <v>2756426.4399999892</v>
      </c>
      <c r="E21" s="76">
        <f>E19-E20</f>
        <v>2721931.5831999946</v>
      </c>
      <c r="F21" s="76">
        <f t="shared" ref="F21:K21" si="4">F19-F20</f>
        <v>2568741.8074719831</v>
      </c>
      <c r="G21" s="76">
        <f t="shared" si="4"/>
        <v>2320317.0290603093</v>
      </c>
      <c r="H21" s="76">
        <f t="shared" si="4"/>
        <v>1754692.2608589297</v>
      </c>
      <c r="I21" s="76">
        <f t="shared" si="4"/>
        <v>4117549.9620817155</v>
      </c>
      <c r="J21" s="76">
        <f t="shared" si="4"/>
        <v>6208259.3971994072</v>
      </c>
      <c r="K21" s="76">
        <f t="shared" si="4"/>
        <v>8202061.5065747146</v>
      </c>
    </row>
    <row r="22" spans="1:12" x14ac:dyDescent="0.6">
      <c r="B22" s="51"/>
    </row>
    <row r="23" spans="1:12" x14ac:dyDescent="0.6">
      <c r="A23" s="112" t="s">
        <v>180</v>
      </c>
      <c r="B23" s="113">
        <v>0.06</v>
      </c>
      <c r="C23" s="114"/>
      <c r="D23" s="112"/>
      <c r="E23" s="112"/>
      <c r="F23" s="112"/>
      <c r="G23" s="112"/>
      <c r="H23" s="112"/>
      <c r="I23" s="112"/>
      <c r="J23" s="112"/>
      <c r="K23" s="112"/>
      <c r="L23" s="112"/>
    </row>
    <row r="24" spans="1:12" x14ac:dyDescent="0.6">
      <c r="A24" s="112" t="s">
        <v>181</v>
      </c>
      <c r="B24" s="112">
        <v>1</v>
      </c>
      <c r="C24" s="115">
        <f>1/(1+$B$23)</f>
        <v>0.94339622641509424</v>
      </c>
      <c r="D24" s="115">
        <f>1/((1+$B$23)*(1+$B$23))</f>
        <v>0.88999644001423983</v>
      </c>
      <c r="E24" s="115">
        <f>1/((1+$B$23)*(1+$B$23)*(1+$B$23))</f>
        <v>0.8396192830323016</v>
      </c>
      <c r="F24" s="115">
        <f>1/((1+$B$23)*(1+$B$23)*(1+$B$23)*(1+$B$23))</f>
        <v>0.79209366323802044</v>
      </c>
      <c r="G24" s="115">
        <f>1/((1+$B$23)*(1+$B$23)*(1+$B$23)*(1+$B$23)*(1+$B$23))</f>
        <v>0.74725817286605689</v>
      </c>
      <c r="H24" s="115">
        <f>1/((1+$B$23)*(1+$B$23)*(1+$B$23)*(1+$B$23)*(1+$B$23)*(1+$B$23))</f>
        <v>0.70496054043967626</v>
      </c>
      <c r="I24" s="115">
        <f>1/((1+$B$23)*(1+$B$23)*(1+$B$23)*(1+$B$23)*(1+$B$23)*(1+$B$23)*(1+$B$23))</f>
        <v>0.6650571136223361</v>
      </c>
      <c r="J24" s="115">
        <f>1/((1+$B$23)*(1+$B$23)*(1+$B$23)*(1+$B$23)*(1+$B$23)*(1+$B$23)*(1+$B$23)*(1+$B$23))</f>
        <v>0.62741237134182648</v>
      </c>
      <c r="K24" s="115">
        <f>1/((1+$B$23)*(1+$B$23)*(1+$B$23)*(1+$B$23)*(1+$B$23)*(1+$B$23)*(1+$B$23)*(1+$B$23)*(1+$B$23))</f>
        <v>0.59189846353002495</v>
      </c>
      <c r="L24" s="112"/>
    </row>
    <row r="25" spans="1:12" x14ac:dyDescent="0.6">
      <c r="A25" s="112" t="s">
        <v>182</v>
      </c>
      <c r="B25" s="112">
        <f>B4+B9+B11+B5+B6</f>
        <v>13400000</v>
      </c>
      <c r="C25" s="112">
        <f>C4+C9+C11+C5+C6</f>
        <v>33273216</v>
      </c>
      <c r="D25" s="112">
        <f t="shared" ref="D25:K25" si="5">D4+D9+D11</f>
        <v>50486196.280000001</v>
      </c>
      <c r="E25" s="112">
        <f t="shared" si="5"/>
        <v>53830684.839999996</v>
      </c>
      <c r="F25" s="112">
        <f t="shared" si="5"/>
        <v>57028737.983199999</v>
      </c>
      <c r="G25" s="112">
        <f t="shared" si="5"/>
        <v>60108096.207471989</v>
      </c>
      <c r="H25" s="112">
        <f t="shared" si="5"/>
        <v>63092219.429060325</v>
      </c>
      <c r="I25" s="112">
        <f t="shared" si="5"/>
        <v>65759142.660858944</v>
      </c>
      <c r="J25" s="112">
        <f t="shared" si="5"/>
        <v>68768509.96208173</v>
      </c>
      <c r="K25" s="112">
        <f t="shared" si="5"/>
        <v>70859219.397199422</v>
      </c>
      <c r="L25" s="112"/>
    </row>
    <row r="26" spans="1:12" x14ac:dyDescent="0.6">
      <c r="A26" s="112" t="s">
        <v>183</v>
      </c>
      <c r="B26" s="112">
        <f>B25*B24</f>
        <v>13400000</v>
      </c>
      <c r="C26" s="112">
        <f>C25*C24</f>
        <v>31389826.415094335</v>
      </c>
      <c r="D26" s="112">
        <f t="shared" ref="D26:K26" si="6">D25*D24</f>
        <v>44932534.959060162</v>
      </c>
      <c r="E26" s="112">
        <f t="shared" si="6"/>
        <v>45197281.010498583</v>
      </c>
      <c r="F26" s="112">
        <f t="shared" si="6"/>
        <v>45172101.978954121</v>
      </c>
      <c r="G26" s="112">
        <f t="shared" si="6"/>
        <v>44916266.14645268</v>
      </c>
      <c r="H26" s="112">
        <f t="shared" si="6"/>
        <v>44477525.106249012</v>
      </c>
      <c r="I26" s="112">
        <f t="shared" si="6"/>
        <v>43733585.612310275</v>
      </c>
      <c r="J26" s="112">
        <f t="shared" si="6"/>
        <v>43146213.908953719</v>
      </c>
      <c r="K26" s="112">
        <f t="shared" si="6"/>
        <v>41941463.088139281</v>
      </c>
      <c r="L26" s="112"/>
    </row>
    <row r="27" spans="1:12" x14ac:dyDescent="0.6">
      <c r="A27" s="112" t="s">
        <v>184</v>
      </c>
      <c r="B27" s="112">
        <f>B10+B12+B14+B16+B18+B20+B7+B13+B8</f>
        <v>13040000</v>
      </c>
      <c r="C27" s="112">
        <f t="shared" ref="C27:K27" si="7">C10+C12+C14+C16+C18+C20+C7+C13</f>
        <v>29805899.720000006</v>
      </c>
      <c r="D27" s="112">
        <f t="shared" si="7"/>
        <v>47729769.840000011</v>
      </c>
      <c r="E27" s="112">
        <f t="shared" si="7"/>
        <v>51108753.256800003</v>
      </c>
      <c r="F27" s="112">
        <f t="shared" si="7"/>
        <v>54459996.175728016</v>
      </c>
      <c r="G27" s="112">
        <f t="shared" si="7"/>
        <v>57787779.178411685</v>
      </c>
      <c r="H27" s="112">
        <f t="shared" si="7"/>
        <v>61337527.168201394</v>
      </c>
      <c r="I27" s="112">
        <f t="shared" si="7"/>
        <v>61641592.698777229</v>
      </c>
      <c r="J27" s="112">
        <f t="shared" si="7"/>
        <v>62560250.564882323</v>
      </c>
      <c r="K27" s="112">
        <f t="shared" si="7"/>
        <v>62657157.890624709</v>
      </c>
      <c r="L27" s="112"/>
    </row>
    <row r="28" spans="1:12" x14ac:dyDescent="0.6">
      <c r="A28" s="112" t="s">
        <v>185</v>
      </c>
      <c r="B28" s="112">
        <f>B27*B24</f>
        <v>13040000</v>
      </c>
      <c r="C28" s="112">
        <f>C27*C24</f>
        <v>28118773.320754722</v>
      </c>
      <c r="D28" s="112">
        <f t="shared" ref="D28:K28" si="8">D27*D24</f>
        <v>42479325.240299046</v>
      </c>
      <c r="E28" s="112">
        <f t="shared" si="8"/>
        <v>42911894.76614923</v>
      </c>
      <c r="F28" s="112">
        <f t="shared" si="8"/>
        <v>43137417.870760985</v>
      </c>
      <c r="G28" s="112">
        <f t="shared" si="8"/>
        <v>43182390.282847084</v>
      </c>
      <c r="H28" s="112">
        <f t="shared" si="8"/>
        <v>43240536.301728584</v>
      </c>
      <c r="I28" s="112">
        <f t="shared" si="8"/>
        <v>40995179.719332449</v>
      </c>
      <c r="J28" s="112">
        <f t="shared" si="8"/>
        <v>39251075.158651657</v>
      </c>
      <c r="K28" s="112">
        <f t="shared" si="8"/>
        <v>37086675.484618947</v>
      </c>
      <c r="L28" s="112"/>
    </row>
    <row r="29" spans="1:12" x14ac:dyDescent="0.6">
      <c r="A29" s="112"/>
      <c r="B29" s="112"/>
      <c r="C29" s="112"/>
      <c r="D29" s="112"/>
      <c r="E29" s="112"/>
      <c r="F29" s="112"/>
      <c r="G29" s="112"/>
      <c r="H29" s="112"/>
      <c r="I29" s="112"/>
      <c r="J29" s="112"/>
      <c r="K29" s="112"/>
      <c r="L29" s="112"/>
    </row>
    <row r="30" spans="1:12" x14ac:dyDescent="0.6">
      <c r="A30" s="112" t="s">
        <v>186</v>
      </c>
      <c r="B30" s="112">
        <f>B25-B27</f>
        <v>360000</v>
      </c>
      <c r="C30" s="112">
        <f>C25-C27</f>
        <v>3467316.2799999937</v>
      </c>
      <c r="D30" s="112">
        <f>D25-D27</f>
        <v>2756426.4399999902</v>
      </c>
      <c r="E30" s="112">
        <f t="shared" ref="E30:K30" si="9">E25-E27</f>
        <v>2721931.5831999928</v>
      </c>
      <c r="F30" s="112">
        <f t="shared" si="9"/>
        <v>2568741.8074719831</v>
      </c>
      <c r="G30" s="112">
        <f t="shared" si="9"/>
        <v>2320317.0290603042</v>
      </c>
      <c r="H30" s="112">
        <f t="shared" si="9"/>
        <v>1754692.2608589306</v>
      </c>
      <c r="I30" s="112">
        <f t="shared" si="9"/>
        <v>4117549.9620817155</v>
      </c>
      <c r="J30" s="112">
        <f t="shared" si="9"/>
        <v>6208259.3971994072</v>
      </c>
      <c r="K30" s="112">
        <f t="shared" si="9"/>
        <v>8202061.5065747127</v>
      </c>
      <c r="L30" s="112"/>
    </row>
    <row r="31" spans="1:12" x14ac:dyDescent="0.6">
      <c r="A31" s="112" t="s">
        <v>187</v>
      </c>
      <c r="B31" s="112">
        <f>B26-B28</f>
        <v>360000</v>
      </c>
      <c r="C31" s="112">
        <f>C30*C24</f>
        <v>3271053.0943396166</v>
      </c>
      <c r="D31" s="112">
        <f t="shared" ref="D31:K31" si="10">D30*D24</f>
        <v>2453209.7187611158</v>
      </c>
      <c r="E31" s="112">
        <f t="shared" si="10"/>
        <v>2285386.2443493553</v>
      </c>
      <c r="F31" s="112">
        <f t="shared" si="10"/>
        <v>2034684.108193137</v>
      </c>
      <c r="G31" s="112">
        <f t="shared" si="10"/>
        <v>1733875.8636056003</v>
      </c>
      <c r="H31" s="112">
        <f t="shared" si="10"/>
        <v>1236988.8045204291</v>
      </c>
      <c r="I31" s="112">
        <f t="shared" si="10"/>
        <v>2738405.8929778254</v>
      </c>
      <c r="J31" s="112">
        <f t="shared" si="10"/>
        <v>3895138.7503020582</v>
      </c>
      <c r="K31" s="112">
        <f t="shared" si="10"/>
        <v>4854787.6035203338</v>
      </c>
      <c r="L31" s="112">
        <f>SUM(C31:K31)</f>
        <v>24503530.080569472</v>
      </c>
    </row>
    <row r="32" spans="1:12" x14ac:dyDescent="0.6">
      <c r="C32" s="51"/>
      <c r="D32" s="51"/>
      <c r="E32" s="51"/>
      <c r="F32" s="51"/>
      <c r="G32" s="51"/>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3"/>
  <sheetViews>
    <sheetView workbookViewId="0">
      <selection activeCell="D16" sqref="D16"/>
    </sheetView>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164</v>
      </c>
    </row>
    <row r="2" spans="1:10" x14ac:dyDescent="0.6">
      <c r="A2" s="137" t="s">
        <v>3</v>
      </c>
      <c r="B2" s="140" t="s">
        <v>48</v>
      </c>
      <c r="C2" s="140"/>
      <c r="D2" s="140"/>
      <c r="E2" s="140"/>
      <c r="F2" s="140"/>
      <c r="G2" s="140"/>
      <c r="H2" s="140"/>
      <c r="I2" s="140"/>
      <c r="J2" s="140"/>
    </row>
    <row r="3" spans="1:10" x14ac:dyDescent="0.6">
      <c r="A3" s="137"/>
      <c r="B3" s="99" t="s">
        <v>39</v>
      </c>
      <c r="C3" s="99" t="s">
        <v>40</v>
      </c>
      <c r="D3" s="99" t="s">
        <v>41</v>
      </c>
      <c r="E3" s="99" t="s">
        <v>42</v>
      </c>
      <c r="F3" s="99" t="s">
        <v>43</v>
      </c>
      <c r="G3" s="99" t="s">
        <v>44</v>
      </c>
      <c r="H3" s="99" t="s">
        <v>45</v>
      </c>
      <c r="I3" s="99" t="s">
        <v>46</v>
      </c>
      <c r="J3" s="99" t="s">
        <v>47</v>
      </c>
    </row>
    <row r="4" spans="1:10" x14ac:dyDescent="0.6">
      <c r="A4" s="7" t="s">
        <v>240</v>
      </c>
      <c r="B4" s="100">
        <v>0.7</v>
      </c>
      <c r="C4" s="100">
        <v>0.75</v>
      </c>
      <c r="D4" s="100">
        <v>0.8</v>
      </c>
      <c r="E4" s="100">
        <v>0.85</v>
      </c>
      <c r="F4" s="100">
        <v>0.9</v>
      </c>
      <c r="G4" s="100">
        <v>0.95</v>
      </c>
      <c r="H4" s="100">
        <v>1</v>
      </c>
      <c r="I4" s="100">
        <v>1</v>
      </c>
      <c r="J4" s="100">
        <v>1</v>
      </c>
    </row>
    <row r="5" spans="1:10" x14ac:dyDescent="0.6">
      <c r="A5" s="7" t="s">
        <v>269</v>
      </c>
      <c r="B5" s="101">
        <f t="shared" ref="B5:J5" si="0">$B$11*B4</f>
        <v>1523760</v>
      </c>
      <c r="C5" s="101">
        <f t="shared" si="0"/>
        <v>1632600</v>
      </c>
      <c r="D5" s="101">
        <f t="shared" si="0"/>
        <v>1741440</v>
      </c>
      <c r="E5" s="101">
        <f t="shared" si="0"/>
        <v>1850280</v>
      </c>
      <c r="F5" s="101">
        <f t="shared" si="0"/>
        <v>1959120</v>
      </c>
      <c r="G5" s="101">
        <f t="shared" si="0"/>
        <v>2067960</v>
      </c>
      <c r="H5" s="101">
        <f t="shared" si="0"/>
        <v>2176800</v>
      </c>
      <c r="I5" s="101">
        <f t="shared" si="0"/>
        <v>2176800</v>
      </c>
      <c r="J5" s="101">
        <f t="shared" si="0"/>
        <v>2176800</v>
      </c>
    </row>
    <row r="6" spans="1:10" x14ac:dyDescent="0.6">
      <c r="A6" s="7" t="s">
        <v>284</v>
      </c>
      <c r="B6" s="101">
        <f>B5*99%</f>
        <v>1508522.4</v>
      </c>
      <c r="C6" s="101">
        <f t="shared" ref="C6:F6" si="1">C5*99%</f>
        <v>1616274</v>
      </c>
      <c r="D6" s="101">
        <f t="shared" si="1"/>
        <v>1724025.6</v>
      </c>
      <c r="E6" s="101">
        <f t="shared" si="1"/>
        <v>1831777.2</v>
      </c>
      <c r="F6" s="101">
        <f t="shared" si="1"/>
        <v>1939528.8</v>
      </c>
      <c r="G6" s="101">
        <f>G5*101%</f>
        <v>2088639.6</v>
      </c>
      <c r="H6" s="101">
        <f t="shared" ref="H6:J6" si="2">H5*101%</f>
        <v>2198568</v>
      </c>
      <c r="I6" s="101">
        <f t="shared" si="2"/>
        <v>2198568</v>
      </c>
      <c r="J6" s="101">
        <f t="shared" si="2"/>
        <v>2198568</v>
      </c>
    </row>
    <row r="7" spans="1:10" x14ac:dyDescent="0.6">
      <c r="A7" s="7" t="s">
        <v>283</v>
      </c>
      <c r="B7" s="76">
        <f>B5*$C$15</f>
        <v>41141520</v>
      </c>
      <c r="C7" s="76">
        <f>C5*$C$15*1.1</f>
        <v>48488220.000000007</v>
      </c>
      <c r="D7" s="76">
        <f t="shared" ref="D7:J7" si="3">D5*$C$15*1.1</f>
        <v>51720768.000000007</v>
      </c>
      <c r="E7" s="76">
        <f t="shared" si="3"/>
        <v>54953316.000000007</v>
      </c>
      <c r="F7" s="76">
        <f t="shared" si="3"/>
        <v>58185864.000000007</v>
      </c>
      <c r="G7" s="76">
        <f t="shared" si="3"/>
        <v>61418412.000000007</v>
      </c>
      <c r="H7" s="76">
        <f t="shared" si="3"/>
        <v>64650960.000000007</v>
      </c>
      <c r="I7" s="76">
        <f t="shared" si="3"/>
        <v>64650960.000000007</v>
      </c>
      <c r="J7" s="76">
        <f t="shared" si="3"/>
        <v>64650960.000000007</v>
      </c>
    </row>
    <row r="8" spans="1:10" x14ac:dyDescent="0.6">
      <c r="B8" s="32"/>
      <c r="C8" s="32"/>
      <c r="D8" s="32"/>
      <c r="E8" s="32"/>
      <c r="F8" s="32"/>
      <c r="G8" s="32"/>
      <c r="H8" s="32"/>
      <c r="I8" s="32"/>
      <c r="J8" s="32"/>
    </row>
    <row r="9" spans="1:10" x14ac:dyDescent="0.6">
      <c r="A9" s="122" t="s">
        <v>260</v>
      </c>
      <c r="B9" s="91"/>
      <c r="C9" s="91"/>
      <c r="D9" s="91"/>
      <c r="E9" s="91"/>
      <c r="F9" s="91"/>
      <c r="G9" s="91"/>
      <c r="H9" s="91"/>
      <c r="I9" s="91"/>
      <c r="J9" s="91"/>
    </row>
    <row r="11" spans="1:10" x14ac:dyDescent="0.6">
      <c r="A11" s="6" t="s">
        <v>239</v>
      </c>
      <c r="B11" s="92">
        <f>907*8*300</f>
        <v>2176800</v>
      </c>
      <c r="C11" s="102" t="s">
        <v>305</v>
      </c>
      <c r="E11" s="103"/>
    </row>
    <row r="12" spans="1:10" x14ac:dyDescent="0.6">
      <c r="A12" s="6" t="s">
        <v>256</v>
      </c>
      <c r="B12" s="104" t="s">
        <v>280</v>
      </c>
    </row>
    <row r="14" spans="1:10" s="108" customFormat="1" ht="58" customHeight="1" x14ac:dyDescent="0.35">
      <c r="A14" s="105" t="s">
        <v>165</v>
      </c>
      <c r="B14" s="106" t="s">
        <v>166</v>
      </c>
      <c r="C14" s="107" t="s">
        <v>258</v>
      </c>
      <c r="D14" s="106" t="s">
        <v>257</v>
      </c>
      <c r="E14" s="123"/>
    </row>
    <row r="15" spans="1:10" s="108" customFormat="1" x14ac:dyDescent="0.35">
      <c r="A15" s="105" t="s">
        <v>167</v>
      </c>
      <c r="B15" s="109">
        <f>B11</f>
        <v>2176800</v>
      </c>
      <c r="C15" s="110">
        <v>27</v>
      </c>
      <c r="D15" s="111">
        <v>20.5</v>
      </c>
      <c r="E15" s="120"/>
    </row>
    <row r="16" spans="1:10" s="108" customFormat="1" x14ac:dyDescent="0.35">
      <c r="A16" s="117"/>
      <c r="B16" s="118"/>
      <c r="C16" s="119"/>
      <c r="D16" s="119"/>
      <c r="E16" s="120"/>
    </row>
    <row r="17" spans="1:10" x14ac:dyDescent="0.6">
      <c r="A17" s="5" t="s">
        <v>259</v>
      </c>
    </row>
    <row r="18" spans="1:10" s="5" customFormat="1" x14ac:dyDescent="0.6">
      <c r="A18" s="146" t="s">
        <v>3</v>
      </c>
      <c r="B18" s="145" t="s">
        <v>48</v>
      </c>
      <c r="C18" s="145"/>
      <c r="D18" s="145"/>
      <c r="E18" s="145"/>
      <c r="F18" s="145"/>
      <c r="G18" s="145"/>
      <c r="H18" s="145"/>
      <c r="I18" s="145"/>
      <c r="J18" s="145"/>
    </row>
    <row r="19" spans="1:10" s="5" customFormat="1" x14ac:dyDescent="0.6">
      <c r="A19" s="147"/>
      <c r="B19" s="121" t="s">
        <v>39</v>
      </c>
      <c r="C19" s="121" t="s">
        <v>40</v>
      </c>
      <c r="D19" s="121" t="s">
        <v>41</v>
      </c>
      <c r="E19" s="121" t="s">
        <v>42</v>
      </c>
      <c r="F19" s="121" t="s">
        <v>43</v>
      </c>
      <c r="G19" s="121" t="s">
        <v>44</v>
      </c>
      <c r="H19" s="121" t="s">
        <v>45</v>
      </c>
      <c r="I19" s="121" t="s">
        <v>46</v>
      </c>
      <c r="J19" s="121" t="s">
        <v>47</v>
      </c>
    </row>
    <row r="20" spans="1:10" x14ac:dyDescent="0.6">
      <c r="A20" s="7" t="s">
        <v>261</v>
      </c>
      <c r="B20" s="89">
        <v>0</v>
      </c>
      <c r="C20" s="77">
        <f>B23</f>
        <v>15237.600000000093</v>
      </c>
      <c r="D20" s="77">
        <f t="shared" ref="D20:J20" si="4">C23</f>
        <v>31563.600000000093</v>
      </c>
      <c r="E20" s="77">
        <f t="shared" si="4"/>
        <v>48978</v>
      </c>
      <c r="F20" s="77">
        <f t="shared" si="4"/>
        <v>67480.800000000047</v>
      </c>
      <c r="G20" s="77">
        <f t="shared" si="4"/>
        <v>87072</v>
      </c>
      <c r="H20" s="77">
        <f t="shared" si="4"/>
        <v>66392.399999999907</v>
      </c>
      <c r="I20" s="77">
        <f t="shared" si="4"/>
        <v>44624.399999999907</v>
      </c>
      <c r="J20" s="77">
        <f t="shared" si="4"/>
        <v>22856.399999999907</v>
      </c>
    </row>
    <row r="21" spans="1:10" x14ac:dyDescent="0.6">
      <c r="A21" s="7" t="s">
        <v>262</v>
      </c>
      <c r="B21" s="77">
        <f>B5</f>
        <v>1523760</v>
      </c>
      <c r="C21" s="77">
        <f t="shared" ref="C21:J21" si="5">C5</f>
        <v>1632600</v>
      </c>
      <c r="D21" s="77">
        <f t="shared" si="5"/>
        <v>1741440</v>
      </c>
      <c r="E21" s="77">
        <f t="shared" si="5"/>
        <v>1850280</v>
      </c>
      <c r="F21" s="77">
        <f t="shared" si="5"/>
        <v>1959120</v>
      </c>
      <c r="G21" s="77">
        <f t="shared" si="5"/>
        <v>2067960</v>
      </c>
      <c r="H21" s="77">
        <f t="shared" si="5"/>
        <v>2176800</v>
      </c>
      <c r="I21" s="77">
        <f t="shared" si="5"/>
        <v>2176800</v>
      </c>
      <c r="J21" s="77">
        <f t="shared" si="5"/>
        <v>2176800</v>
      </c>
    </row>
    <row r="22" spans="1:10" x14ac:dyDescent="0.6">
      <c r="A22" s="7" t="s">
        <v>50</v>
      </c>
      <c r="B22" s="77">
        <f>B6</f>
        <v>1508522.4</v>
      </c>
      <c r="C22" s="77">
        <f t="shared" ref="C22:J22" si="6">C6</f>
        <v>1616274</v>
      </c>
      <c r="D22" s="77">
        <f t="shared" si="6"/>
        <v>1724025.6</v>
      </c>
      <c r="E22" s="77">
        <f t="shared" si="6"/>
        <v>1831777.2</v>
      </c>
      <c r="F22" s="77">
        <f t="shared" si="6"/>
        <v>1939528.8</v>
      </c>
      <c r="G22" s="77">
        <f t="shared" si="6"/>
        <v>2088639.6</v>
      </c>
      <c r="H22" s="77">
        <f t="shared" si="6"/>
        <v>2198568</v>
      </c>
      <c r="I22" s="77">
        <f t="shared" si="6"/>
        <v>2198568</v>
      </c>
      <c r="J22" s="77">
        <f t="shared" si="6"/>
        <v>2198568</v>
      </c>
    </row>
    <row r="23" spans="1:10" x14ac:dyDescent="0.6">
      <c r="A23" s="7" t="s">
        <v>263</v>
      </c>
      <c r="B23" s="77">
        <f>B20+B21-B22</f>
        <v>15237.600000000093</v>
      </c>
      <c r="C23" s="77">
        <f t="shared" ref="C23:J23" si="7">C20+C21-C22</f>
        <v>31563.600000000093</v>
      </c>
      <c r="D23" s="77">
        <f t="shared" si="7"/>
        <v>48978</v>
      </c>
      <c r="E23" s="77">
        <f t="shared" si="7"/>
        <v>67480.800000000047</v>
      </c>
      <c r="F23" s="77">
        <f t="shared" si="7"/>
        <v>87072</v>
      </c>
      <c r="G23" s="77">
        <f t="shared" si="7"/>
        <v>66392.399999999907</v>
      </c>
      <c r="H23" s="77">
        <f t="shared" si="7"/>
        <v>44624.399999999907</v>
      </c>
      <c r="I23" s="77">
        <f t="shared" si="7"/>
        <v>22856.399999999907</v>
      </c>
      <c r="J23" s="77">
        <f t="shared" si="7"/>
        <v>1088.3999999999069</v>
      </c>
    </row>
  </sheetData>
  <mergeCells count="4">
    <mergeCell ref="B2:J2"/>
    <mergeCell ref="B18:J18"/>
    <mergeCell ref="A2:A3"/>
    <mergeCell ref="A18:A19"/>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188</v>
      </c>
      <c r="B3" s="32">
        <f>'Ann 4'!C20/100000</f>
        <v>411.41520000000003</v>
      </c>
      <c r="C3" s="32">
        <f>'Ann 4'!D20/100000</f>
        <v>484.88220000000007</v>
      </c>
      <c r="D3" s="32">
        <f>'Ann 4'!E20/100000</f>
        <v>517.2076800000001</v>
      </c>
      <c r="E3" s="32">
        <f>'Ann 4'!F20/100000</f>
        <v>549.53316000000007</v>
      </c>
      <c r="F3" s="32">
        <f>'Ann 4'!G20/100000</f>
        <v>581.85864000000004</v>
      </c>
      <c r="G3" s="32">
        <f>'Ann 4'!H20/100000</f>
        <v>614.18412000000012</v>
      </c>
      <c r="H3" s="32">
        <f>'Ann 4'!I20/100000</f>
        <v>646.50960000000009</v>
      </c>
      <c r="I3" s="32">
        <f>'Ann 4'!J20/100000</f>
        <v>646.50960000000009</v>
      </c>
      <c r="J3" s="32">
        <f>'Ann 4'!K20/100000</f>
        <v>646.50960000000009</v>
      </c>
    </row>
    <row r="4" spans="1:10" x14ac:dyDescent="0.6">
      <c r="A4" s="6" t="s">
        <v>189</v>
      </c>
      <c r="B4" s="32">
        <f>'Ann 4'!C19/100000</f>
        <v>393.78126800000013</v>
      </c>
      <c r="C4" s="32">
        <f>'Ann 4'!D19/100000</f>
        <v>421.61025000000006</v>
      </c>
      <c r="D4" s="32">
        <f>'Ann 4'!E19/100000</f>
        <v>449.50308120000011</v>
      </c>
      <c r="E4" s="32">
        <f>'Ann 4'!F19/100000</f>
        <v>477.46347505200004</v>
      </c>
      <c r="F4" s="32">
        <f>'Ann 4'!G19/100000</f>
        <v>505.49536194012001</v>
      </c>
      <c r="G4" s="32">
        <f>'Ann 4'!H19/100000</f>
        <v>543.94270190277723</v>
      </c>
      <c r="H4" s="32">
        <f>'Ann 4'!I19/100000</f>
        <v>572.67449810350638</v>
      </c>
      <c r="I4" s="32">
        <f>'Ann 4'!J19/100000</f>
        <v>574.05363713952931</v>
      </c>
      <c r="J4" s="32">
        <f>'Ann 4'!K19/100000</f>
        <v>575.51405041250882</v>
      </c>
    </row>
    <row r="5" spans="1:10" x14ac:dyDescent="0.6">
      <c r="A5" s="6" t="s">
        <v>190</v>
      </c>
      <c r="B5" s="32">
        <f>B3-B4</f>
        <v>17.633931999999902</v>
      </c>
      <c r="C5" s="32">
        <f t="shared" ref="C5:J5" si="0">C3-C4</f>
        <v>63.271950000000004</v>
      </c>
      <c r="D5" s="32">
        <f t="shared" si="0"/>
        <v>67.704598799999985</v>
      </c>
      <c r="E5" s="32">
        <f t="shared" si="0"/>
        <v>72.069684948000031</v>
      </c>
      <c r="F5" s="32">
        <f t="shared" si="0"/>
        <v>76.363278059880031</v>
      </c>
      <c r="G5" s="32">
        <f t="shared" si="0"/>
        <v>70.241418097222891</v>
      </c>
      <c r="H5" s="32">
        <f t="shared" si="0"/>
        <v>73.835101896493711</v>
      </c>
      <c r="I5" s="32">
        <f t="shared" si="0"/>
        <v>72.455962860470777</v>
      </c>
      <c r="J5" s="32">
        <f t="shared" si="0"/>
        <v>70.995549587491269</v>
      </c>
    </row>
    <row r="6" spans="1:10" x14ac:dyDescent="0.6">
      <c r="A6" s="6" t="s">
        <v>191</v>
      </c>
      <c r="B6" s="32">
        <f>B5</f>
        <v>17.633931999999902</v>
      </c>
      <c r="C6" s="32">
        <f t="shared" ref="C6:J6" si="1">C5</f>
        <v>63.271950000000004</v>
      </c>
      <c r="D6" s="32">
        <f t="shared" si="1"/>
        <v>67.704598799999985</v>
      </c>
      <c r="E6" s="32">
        <f t="shared" si="1"/>
        <v>72.069684948000031</v>
      </c>
      <c r="F6" s="32">
        <f t="shared" si="1"/>
        <v>76.363278059880031</v>
      </c>
      <c r="G6" s="32">
        <f t="shared" si="1"/>
        <v>70.241418097222891</v>
      </c>
      <c r="H6" s="32">
        <f t="shared" si="1"/>
        <v>73.835101896493711</v>
      </c>
      <c r="I6" s="32">
        <f t="shared" si="1"/>
        <v>72.455962860470777</v>
      </c>
      <c r="J6" s="32">
        <f t="shared" si="1"/>
        <v>70.995549587491269</v>
      </c>
    </row>
    <row r="7" spans="1:10" x14ac:dyDescent="0.6">
      <c r="A7" s="6" t="s">
        <v>192</v>
      </c>
      <c r="B7" s="95">
        <f>'Ann 4'!C32/100000</f>
        <v>-8.5785680000001197</v>
      </c>
      <c r="C7" s="95">
        <f>'Ann 4'!D32/100000</f>
        <v>41.011949999999999</v>
      </c>
      <c r="D7" s="95">
        <f>'Ann 4'!E32/100000</f>
        <v>48.808348799999955</v>
      </c>
      <c r="E7" s="95">
        <f>'Ann 4'!F32/100000</f>
        <v>56.203622448000012</v>
      </c>
      <c r="F7" s="95">
        <f>'Ann 4'!G32/100000</f>
        <v>63.24297493488006</v>
      </c>
      <c r="G7" s="95">
        <f>'Ann 4'!H32/100000</f>
        <v>93.4393004409729</v>
      </c>
      <c r="H7" s="95">
        <f>'Ann 4'!I32/100000</f>
        <v>66.189252888681239</v>
      </c>
      <c r="I7" s="95">
        <f>'Ann 4'!J32/100000</f>
        <v>65.849847103830172</v>
      </c>
      <c r="J7" s="95">
        <f>'Ann 4'!K32/100000</f>
        <v>65.27852150434677</v>
      </c>
    </row>
    <row r="8" spans="1:10" x14ac:dyDescent="0.6">
      <c r="A8" s="6" t="s">
        <v>193</v>
      </c>
      <c r="B8" s="95">
        <f>'Ann 4'!C34/100000</f>
        <v>-6.1249976000000839</v>
      </c>
      <c r="C8" s="95">
        <f>'Ann 4'!D34/100000</f>
        <v>28.708365000000001</v>
      </c>
      <c r="D8" s="95">
        <f>'Ann 4'!E34/100000</f>
        <v>34.165844159999963</v>
      </c>
      <c r="E8" s="95">
        <f>'Ann 4'!F34/100000</f>
        <v>39.342535713600014</v>
      </c>
      <c r="F8" s="95">
        <f>'Ann 4'!G34/100000</f>
        <v>44.270082454416041</v>
      </c>
      <c r="G8" s="95">
        <f>'Ann 4'!H34/100000</f>
        <v>75.187510308681027</v>
      </c>
      <c r="H8" s="95">
        <f>'Ann 4'!I34/100000</f>
        <v>46.332477022076866</v>
      </c>
      <c r="I8" s="95">
        <f>'Ann 4'!J34/100000</f>
        <v>46.094892972681116</v>
      </c>
      <c r="J8" s="95">
        <f>'Ann 4'!K34/100000</f>
        <v>45.694965053042743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9"/>
  <sheetViews>
    <sheetView workbookViewId="0">
      <selection activeCell="D4" sqref="D4"/>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213</v>
      </c>
      <c r="B1" s="5" t="s">
        <v>214</v>
      </c>
    </row>
    <row r="2" spans="1:12" x14ac:dyDescent="0.6">
      <c r="A2" s="6">
        <v>1</v>
      </c>
      <c r="B2" s="6" t="s">
        <v>291</v>
      </c>
    </row>
    <row r="3" spans="1:12" x14ac:dyDescent="0.6">
      <c r="A3" s="6">
        <v>2</v>
      </c>
      <c r="B3" s="6" t="s">
        <v>215</v>
      </c>
    </row>
    <row r="4" spans="1:12" x14ac:dyDescent="0.6">
      <c r="C4" s="6" t="s">
        <v>169</v>
      </c>
      <c r="D4" s="6">
        <v>25000</v>
      </c>
      <c r="E4" s="6">
        <f>D4*1.05</f>
        <v>26250</v>
      </c>
      <c r="F4" s="6">
        <f t="shared" ref="F4:J4" si="0">E4*1.05</f>
        <v>27562.5</v>
      </c>
      <c r="G4" s="6">
        <f t="shared" si="0"/>
        <v>28940.625</v>
      </c>
      <c r="H4" s="6">
        <f t="shared" si="0"/>
        <v>30387.65625</v>
      </c>
      <c r="I4" s="6">
        <f t="shared" si="0"/>
        <v>31907.0390625</v>
      </c>
      <c r="J4" s="6">
        <f t="shared" si="0"/>
        <v>33502.391015624999</v>
      </c>
      <c r="K4" s="6">
        <f>J4</f>
        <v>33502.391015624999</v>
      </c>
      <c r="L4" s="6">
        <f>K4</f>
        <v>33502.391015624999</v>
      </c>
    </row>
    <row r="5" spans="1:12" x14ac:dyDescent="0.6">
      <c r="C5" s="6" t="s">
        <v>72</v>
      </c>
      <c r="D5" s="6">
        <f>D4*10</f>
        <v>250000</v>
      </c>
      <c r="E5" s="6">
        <f>E4*10</f>
        <v>262500</v>
      </c>
      <c r="F5" s="6">
        <f t="shared" ref="F5:L5" si="1">F4*10</f>
        <v>275625</v>
      </c>
      <c r="G5" s="6">
        <f t="shared" si="1"/>
        <v>289406.25</v>
      </c>
      <c r="H5" s="6">
        <f t="shared" si="1"/>
        <v>303876.5625</v>
      </c>
      <c r="I5" s="6">
        <f t="shared" si="1"/>
        <v>319070.390625</v>
      </c>
      <c r="J5" s="6">
        <f t="shared" si="1"/>
        <v>335023.91015625</v>
      </c>
      <c r="K5" s="6">
        <f t="shared" si="1"/>
        <v>335023.91015625</v>
      </c>
      <c r="L5" s="6">
        <f t="shared" si="1"/>
        <v>335023.91015625</v>
      </c>
    </row>
    <row r="6" spans="1:12" x14ac:dyDescent="0.6">
      <c r="A6" s="6">
        <v>3</v>
      </c>
      <c r="B6" s="6" t="s">
        <v>268</v>
      </c>
    </row>
    <row r="7" spans="1:12" x14ac:dyDescent="0.6">
      <c r="A7" s="6">
        <v>4</v>
      </c>
      <c r="B7" s="6" t="s">
        <v>277</v>
      </c>
    </row>
    <row r="8" spans="1:12" x14ac:dyDescent="0.6">
      <c r="A8" s="6">
        <v>5</v>
      </c>
      <c r="B8" s="6" t="s">
        <v>253</v>
      </c>
    </row>
    <row r="9" spans="1:12" x14ac:dyDescent="0.6">
      <c r="A9" s="6">
        <v>6</v>
      </c>
      <c r="B9" s="6" t="s">
        <v>293</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138</v>
      </c>
    </row>
    <row r="2" spans="1:11" x14ac:dyDescent="0.35">
      <c r="C2" t="s">
        <v>39</v>
      </c>
      <c r="D2" t="s">
        <v>40</v>
      </c>
      <c r="E2" t="s">
        <v>41</v>
      </c>
      <c r="F2" t="s">
        <v>42</v>
      </c>
      <c r="G2" t="s">
        <v>43</v>
      </c>
      <c r="H2" t="s">
        <v>44</v>
      </c>
      <c r="I2" t="s">
        <v>45</v>
      </c>
      <c r="J2" t="s">
        <v>46</v>
      </c>
      <c r="K2" t="s">
        <v>47</v>
      </c>
    </row>
    <row r="3" spans="1:11" x14ac:dyDescent="0.35">
      <c r="A3" t="s">
        <v>139</v>
      </c>
      <c r="C3">
        <f>'Ann 4'!C20/300*270</f>
        <v>37027368</v>
      </c>
      <c r="D3">
        <f>'Ann 4'!D20/300*270</f>
        <v>43639398.000000007</v>
      </c>
      <c r="E3">
        <f>'Ann 4'!E20/300*270</f>
        <v>46548691.20000001</v>
      </c>
      <c r="F3">
        <f>'Ann 4'!F20/300*270</f>
        <v>49457984.400000006</v>
      </c>
      <c r="G3">
        <f>'Ann 4'!G20/300*270</f>
        <v>52367277.600000009</v>
      </c>
      <c r="H3">
        <f>'Ann 4'!H20/300*270</f>
        <v>55276570.800000012</v>
      </c>
      <c r="I3">
        <f>'Ann 4'!I20/300*270</f>
        <v>58185864</v>
      </c>
      <c r="J3">
        <f>'Ann 4'!J20/300*270</f>
        <v>58185864</v>
      </c>
      <c r="K3">
        <f>'Ann 4'!K20/300*270</f>
        <v>58185864</v>
      </c>
    </row>
    <row r="4" spans="1:11" x14ac:dyDescent="0.35">
      <c r="A4" t="s">
        <v>140</v>
      </c>
      <c r="C4">
        <v>5000000</v>
      </c>
    </row>
    <row r="5" spans="1:11" x14ac:dyDescent="0.35">
      <c r="A5" t="s">
        <v>141</v>
      </c>
      <c r="C5">
        <v>21492978</v>
      </c>
    </row>
    <row r="7" spans="1:11" x14ac:dyDescent="0.35">
      <c r="A7" t="s">
        <v>142</v>
      </c>
      <c r="C7">
        <f>'Ann 3'!E21</f>
        <v>13000000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topLeftCell="A21" workbookViewId="0">
      <selection activeCell="A12" sqref="A12"/>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216</v>
      </c>
    </row>
    <row r="3" spans="1:3" x14ac:dyDescent="0.6">
      <c r="A3" s="5" t="s">
        <v>0</v>
      </c>
    </row>
    <row r="5" spans="1:3" x14ac:dyDescent="0.6">
      <c r="A5" s="24" t="s">
        <v>1</v>
      </c>
      <c r="B5" s="25"/>
      <c r="C5" s="26"/>
    </row>
    <row r="6" spans="1:3" ht="34" x14ac:dyDescent="0.6">
      <c r="A6" s="27" t="s">
        <v>2</v>
      </c>
      <c r="B6" s="27" t="s">
        <v>3</v>
      </c>
      <c r="C6" s="28"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163</v>
      </c>
      <c r="C11" s="14">
        <v>0</v>
      </c>
    </row>
    <row r="12" spans="1:3" x14ac:dyDescent="0.6">
      <c r="A12" s="11"/>
      <c r="B12" s="12" t="s">
        <v>8</v>
      </c>
      <c r="C12" s="14">
        <f>C11</f>
        <v>0</v>
      </c>
    </row>
    <row r="13" spans="1:3" x14ac:dyDescent="0.6">
      <c r="A13" s="11"/>
      <c r="B13" s="12"/>
      <c r="C13" s="13"/>
    </row>
    <row r="14" spans="1:3" x14ac:dyDescent="0.6">
      <c r="A14" s="11">
        <v>3</v>
      </c>
      <c r="B14" s="12" t="s">
        <v>9</v>
      </c>
      <c r="C14" s="13"/>
    </row>
    <row r="15" spans="1:3" x14ac:dyDescent="0.6">
      <c r="A15" s="11" t="s">
        <v>5</v>
      </c>
      <c r="B15" s="12" t="s">
        <v>9</v>
      </c>
      <c r="C15" s="14">
        <f>(400*4500)/100000</f>
        <v>18</v>
      </c>
    </row>
    <row r="16" spans="1:3" x14ac:dyDescent="0.6">
      <c r="A16" s="11"/>
      <c r="B16" s="12" t="s">
        <v>8</v>
      </c>
      <c r="C16" s="15">
        <f>C15</f>
        <v>18</v>
      </c>
    </row>
    <row r="17" spans="1:3" x14ac:dyDescent="0.6">
      <c r="A17" s="11"/>
      <c r="B17" s="12"/>
      <c r="C17" s="13"/>
    </row>
    <row r="18" spans="1:3" x14ac:dyDescent="0.6">
      <c r="A18" s="11">
        <v>4</v>
      </c>
      <c r="B18" s="12" t="s">
        <v>10</v>
      </c>
      <c r="C18" s="13"/>
    </row>
    <row r="19" spans="1:3" x14ac:dyDescent="0.6">
      <c r="A19" s="11" t="s">
        <v>5</v>
      </c>
      <c r="B19" s="12" t="s">
        <v>11</v>
      </c>
      <c r="C19" s="15">
        <f>'Ann 3'!E17/100000</f>
        <v>110</v>
      </c>
    </row>
    <row r="20" spans="1:3" x14ac:dyDescent="0.6">
      <c r="A20" s="11"/>
      <c r="B20" s="12" t="s">
        <v>8</v>
      </c>
      <c r="C20" s="16">
        <f>C19</f>
        <v>110</v>
      </c>
    </row>
    <row r="21" spans="1:3" x14ac:dyDescent="0.6">
      <c r="A21" s="11"/>
      <c r="B21" s="12"/>
      <c r="C21" s="13"/>
    </row>
    <row r="22" spans="1:3" x14ac:dyDescent="0.6">
      <c r="A22" s="11">
        <v>5</v>
      </c>
      <c r="B22" s="12" t="s">
        <v>12</v>
      </c>
      <c r="C22" s="13"/>
    </row>
    <row r="23" spans="1:3" x14ac:dyDescent="0.6">
      <c r="A23" s="11" t="s">
        <v>5</v>
      </c>
      <c r="B23" s="12" t="s">
        <v>13</v>
      </c>
      <c r="C23" s="14">
        <f>'Ann 3'!E19/100000</f>
        <v>2</v>
      </c>
    </row>
    <row r="24" spans="1:3" x14ac:dyDescent="0.6">
      <c r="A24" s="11"/>
      <c r="B24" s="12"/>
      <c r="C24" s="14"/>
    </row>
    <row r="25" spans="1:3" x14ac:dyDescent="0.6">
      <c r="A25" s="11">
        <v>6</v>
      </c>
      <c r="B25" s="12" t="s">
        <v>14</v>
      </c>
      <c r="C25" s="14">
        <v>3.6</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4" x14ac:dyDescent="0.6">
      <c r="A33" s="11" t="s">
        <v>5</v>
      </c>
      <c r="B33" s="12" t="s">
        <v>19</v>
      </c>
      <c r="C33" s="14"/>
    </row>
    <row r="34" spans="1:4" x14ac:dyDescent="0.6">
      <c r="A34" s="11" t="s">
        <v>20</v>
      </c>
      <c r="B34" s="12" t="s">
        <v>21</v>
      </c>
      <c r="C34" s="14">
        <v>0.4</v>
      </c>
    </row>
    <row r="35" spans="1:4" x14ac:dyDescent="0.6">
      <c r="A35" s="11"/>
      <c r="B35" s="12" t="s">
        <v>8</v>
      </c>
      <c r="C35" s="14">
        <f>C34</f>
        <v>0.4</v>
      </c>
    </row>
    <row r="36" spans="1:4" x14ac:dyDescent="0.6">
      <c r="A36" s="11"/>
      <c r="B36" s="12"/>
      <c r="C36" s="14"/>
    </row>
    <row r="37" spans="1:4" x14ac:dyDescent="0.6">
      <c r="A37" s="11">
        <v>9</v>
      </c>
      <c r="B37" s="12" t="s">
        <v>246</v>
      </c>
      <c r="C37" s="14">
        <v>0</v>
      </c>
    </row>
    <row r="38" spans="1:4" x14ac:dyDescent="0.6">
      <c r="A38" s="11"/>
      <c r="B38" s="12"/>
      <c r="C38" s="14"/>
    </row>
    <row r="39" spans="1:4" x14ac:dyDescent="0.6">
      <c r="A39" s="11">
        <v>10</v>
      </c>
      <c r="B39" s="12" t="s">
        <v>64</v>
      </c>
      <c r="C39" s="18">
        <v>0</v>
      </c>
      <c r="D39" s="19"/>
    </row>
    <row r="40" spans="1:4" x14ac:dyDescent="0.6">
      <c r="A40" s="11"/>
      <c r="B40" s="12"/>
      <c r="C40" s="13"/>
    </row>
    <row r="41" spans="1:4" s="5" customFormat="1" x14ac:dyDescent="0.6">
      <c r="A41" s="20"/>
      <c r="B41" s="21" t="s">
        <v>22</v>
      </c>
      <c r="C41" s="22">
        <f>C35+C27+C25+C20+C16+C23+C37+C12+C9+C39</f>
        <v>134</v>
      </c>
    </row>
    <row r="42" spans="1:4" x14ac:dyDescent="0.6">
      <c r="A42" s="23"/>
    </row>
    <row r="43" spans="1:4" x14ac:dyDescent="0.6">
      <c r="A43" s="23"/>
    </row>
    <row r="44" spans="1:4" x14ac:dyDescent="0.6">
      <c r="A44" s="23"/>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E8"/>
  <sheetViews>
    <sheetView workbookViewId="0"/>
  </sheetViews>
  <sheetFormatPr defaultRowHeight="17" x14ac:dyDescent="0.6"/>
  <cols>
    <col min="1" max="1" width="8.7265625" style="6"/>
    <col min="2" max="2" width="22.08984375" style="6" customWidth="1"/>
    <col min="3" max="3" width="18.81640625" style="6" bestFit="1" customWidth="1"/>
    <col min="4" max="16384" width="8.7265625" style="6"/>
  </cols>
  <sheetData>
    <row r="1" spans="1:5" x14ac:dyDescent="0.6">
      <c r="A1" s="5" t="s">
        <v>23</v>
      </c>
    </row>
    <row r="3" spans="1:5" s="5" customFormat="1" x14ac:dyDescent="0.6">
      <c r="A3" s="130" t="s">
        <v>24</v>
      </c>
      <c r="B3" s="131" t="s">
        <v>25</v>
      </c>
      <c r="C3" s="132" t="s">
        <v>4</v>
      </c>
    </row>
    <row r="4" spans="1:5" x14ac:dyDescent="0.6">
      <c r="A4" s="29">
        <v>1</v>
      </c>
      <c r="B4" s="6" t="s">
        <v>26</v>
      </c>
      <c r="C4" s="16">
        <f>10%*C8</f>
        <v>13.4</v>
      </c>
      <c r="D4" s="31"/>
    </row>
    <row r="5" spans="1:5" x14ac:dyDescent="0.6">
      <c r="A5" s="29">
        <v>2</v>
      </c>
      <c r="B5" s="6" t="s">
        <v>27</v>
      </c>
      <c r="C5" s="16">
        <v>0</v>
      </c>
      <c r="D5" s="31"/>
      <c r="E5" s="32"/>
    </row>
    <row r="6" spans="1:5" x14ac:dyDescent="0.6">
      <c r="A6" s="29">
        <v>3</v>
      </c>
      <c r="B6" s="6" t="s">
        <v>28</v>
      </c>
      <c r="C6" s="14">
        <f>C8-C4-C7</f>
        <v>117</v>
      </c>
      <c r="D6" s="31"/>
    </row>
    <row r="7" spans="1:5" x14ac:dyDescent="0.6">
      <c r="A7" s="29">
        <v>4</v>
      </c>
      <c r="B7" s="6" t="s">
        <v>29</v>
      </c>
      <c r="C7" s="14">
        <f>'Ann 1'!C25</f>
        <v>3.6</v>
      </c>
      <c r="D7" s="31"/>
    </row>
    <row r="8" spans="1:5" s="5" customFormat="1" x14ac:dyDescent="0.6">
      <c r="A8" s="47"/>
      <c r="B8" s="48" t="s">
        <v>8</v>
      </c>
      <c r="C8" s="129">
        <f>'Ann 1'!C41</f>
        <v>134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3"/>
  <sheetViews>
    <sheetView workbookViewId="0">
      <selection activeCell="B12" sqref="B12"/>
    </sheetView>
  </sheetViews>
  <sheetFormatPr defaultRowHeight="17" x14ac:dyDescent="0.6"/>
  <cols>
    <col min="1" max="1" width="2.81640625" style="6" bestFit="1" customWidth="1"/>
    <col min="2" max="2" width="90.1796875" style="6" bestFit="1" customWidth="1"/>
    <col min="3" max="3" width="8.7265625" style="6"/>
    <col min="4" max="4" width="10.54296875" style="6" customWidth="1"/>
    <col min="5" max="5" width="12.1796875" style="6" bestFit="1" customWidth="1"/>
    <col min="6" max="6" width="8.7265625" style="6"/>
    <col min="7" max="7" width="9.1796875" style="6" bestFit="1" customWidth="1"/>
    <col min="8" max="16384" width="8.7265625" style="6"/>
  </cols>
  <sheetData>
    <row r="1" spans="1:5" x14ac:dyDescent="0.6">
      <c r="A1" s="5" t="s">
        <v>30</v>
      </c>
    </row>
    <row r="3" spans="1:5" x14ac:dyDescent="0.6">
      <c r="A3" s="35" t="s">
        <v>237</v>
      </c>
      <c r="B3" s="25"/>
      <c r="C3" s="25" t="s">
        <v>31</v>
      </c>
      <c r="D3" s="25"/>
      <c r="E3" s="26" t="s">
        <v>32</v>
      </c>
    </row>
    <row r="4" spans="1:5" x14ac:dyDescent="0.6">
      <c r="A4" s="36">
        <v>1</v>
      </c>
      <c r="B4" s="37" t="s">
        <v>248</v>
      </c>
      <c r="C4" s="38">
        <v>1</v>
      </c>
      <c r="D4" s="39"/>
      <c r="E4" s="40">
        <f>'Ann 1'!C15*100000</f>
        <v>1800000</v>
      </c>
    </row>
    <row r="5" spans="1:5" x14ac:dyDescent="0.6">
      <c r="A5" s="41" t="s">
        <v>238</v>
      </c>
      <c r="B5" s="42"/>
      <c r="C5" s="42"/>
      <c r="D5" s="42"/>
      <c r="E5" s="43">
        <f>SUM(E4:E4)</f>
        <v>1800000</v>
      </c>
    </row>
    <row r="6" spans="1:5" x14ac:dyDescent="0.6">
      <c r="A6" s="33"/>
      <c r="B6" s="34"/>
      <c r="C6" s="34"/>
      <c r="D6" s="34"/>
      <c r="E6" s="44"/>
    </row>
    <row r="7" spans="1:5" x14ac:dyDescent="0.6">
      <c r="A7" s="35" t="s">
        <v>33</v>
      </c>
      <c r="B7" s="25"/>
      <c r="C7" s="25" t="s">
        <v>31</v>
      </c>
      <c r="D7" s="25"/>
      <c r="E7" s="26" t="s">
        <v>32</v>
      </c>
    </row>
    <row r="8" spans="1:5" ht="18.5" x14ac:dyDescent="0.6">
      <c r="A8" s="36">
        <v>1</v>
      </c>
      <c r="B8" s="125" t="s">
        <v>294</v>
      </c>
      <c r="C8" s="38">
        <v>1</v>
      </c>
      <c r="D8" s="39"/>
      <c r="E8" s="133">
        <v>11000000</v>
      </c>
    </row>
    <row r="9" spans="1:5" ht="18.5" x14ac:dyDescent="0.6">
      <c r="A9" s="29">
        <v>2</v>
      </c>
      <c r="B9" s="124" t="s">
        <v>295</v>
      </c>
      <c r="C9" s="45">
        <v>1</v>
      </c>
      <c r="D9" s="46"/>
      <c r="E9" s="134"/>
    </row>
    <row r="10" spans="1:5" ht="18.5" x14ac:dyDescent="0.6">
      <c r="A10" s="29">
        <v>3</v>
      </c>
      <c r="B10" s="124" t="s">
        <v>296</v>
      </c>
      <c r="C10" s="45">
        <v>1</v>
      </c>
      <c r="D10" s="46"/>
      <c r="E10" s="134"/>
    </row>
    <row r="11" spans="1:5" ht="18.5" x14ac:dyDescent="0.6">
      <c r="A11" s="29">
        <v>4</v>
      </c>
      <c r="B11" s="124" t="s">
        <v>297</v>
      </c>
      <c r="C11" s="45">
        <v>1</v>
      </c>
      <c r="D11" s="46"/>
      <c r="E11" s="134"/>
    </row>
    <row r="12" spans="1:5" ht="18.5" x14ac:dyDescent="0.6">
      <c r="A12" s="29">
        <v>5</v>
      </c>
      <c r="B12" s="124" t="s">
        <v>298</v>
      </c>
      <c r="C12" s="45">
        <v>1</v>
      </c>
      <c r="D12" s="46"/>
      <c r="E12" s="134"/>
    </row>
    <row r="13" spans="1:5" ht="18.5" x14ac:dyDescent="0.6">
      <c r="A13" s="29">
        <v>6</v>
      </c>
      <c r="B13" s="124" t="s">
        <v>299</v>
      </c>
      <c r="C13" s="45">
        <v>1</v>
      </c>
      <c r="D13" s="46"/>
      <c r="E13" s="134"/>
    </row>
    <row r="14" spans="1:5" ht="18.5" x14ac:dyDescent="0.6">
      <c r="A14" s="29">
        <v>7</v>
      </c>
      <c r="B14" s="124" t="s">
        <v>300</v>
      </c>
      <c r="C14" s="45">
        <v>1</v>
      </c>
      <c r="D14" s="46"/>
      <c r="E14" s="134"/>
    </row>
    <row r="15" spans="1:5" ht="18.5" x14ac:dyDescent="0.6">
      <c r="A15" s="29">
        <v>8</v>
      </c>
      <c r="B15" s="124" t="s">
        <v>301</v>
      </c>
      <c r="C15" s="45">
        <v>1</v>
      </c>
      <c r="D15" s="46"/>
      <c r="E15" s="134"/>
    </row>
    <row r="16" spans="1:5" ht="18.5" x14ac:dyDescent="0.6">
      <c r="A16" s="29">
        <v>9</v>
      </c>
      <c r="B16" s="126" t="s">
        <v>302</v>
      </c>
      <c r="C16" s="127">
        <v>1</v>
      </c>
      <c r="D16" s="128"/>
      <c r="E16" s="135"/>
    </row>
    <row r="17" spans="1:6" s="5" customFormat="1" x14ac:dyDescent="0.6">
      <c r="A17" s="47" t="s">
        <v>34</v>
      </c>
      <c r="B17" s="48"/>
      <c r="C17" s="48"/>
      <c r="D17" s="48"/>
      <c r="E17" s="49">
        <f>SUM(E8)</f>
        <v>11000000</v>
      </c>
      <c r="F17" s="50"/>
    </row>
    <row r="18" spans="1:6" x14ac:dyDescent="0.6">
      <c r="A18" s="29"/>
      <c r="B18" s="30"/>
      <c r="C18" s="30"/>
      <c r="D18" s="30"/>
      <c r="E18" s="13"/>
    </row>
    <row r="19" spans="1:6" x14ac:dyDescent="0.6">
      <c r="A19" s="35" t="s">
        <v>247</v>
      </c>
      <c r="B19" s="25"/>
      <c r="C19" s="25"/>
      <c r="D19" s="25"/>
      <c r="E19" s="52">
        <v>200000</v>
      </c>
    </row>
    <row r="20" spans="1:6" x14ac:dyDescent="0.6">
      <c r="A20" s="29"/>
      <c r="B20" s="30"/>
      <c r="C20" s="30"/>
      <c r="D20" s="30"/>
      <c r="E20" s="13"/>
    </row>
    <row r="21" spans="1:6" s="5" customFormat="1" x14ac:dyDescent="0.6">
      <c r="A21" s="47" t="s">
        <v>35</v>
      </c>
      <c r="B21" s="48"/>
      <c r="C21" s="48"/>
      <c r="D21" s="48"/>
      <c r="E21" s="49">
        <f>E17+E5+E19</f>
        <v>13000000</v>
      </c>
    </row>
    <row r="22" spans="1:6" x14ac:dyDescent="0.6">
      <c r="E22" s="19"/>
    </row>
    <row r="23" spans="1:6" x14ac:dyDescent="0.6">
      <c r="E23" s="51"/>
    </row>
  </sheetData>
  <mergeCells count="1">
    <mergeCell ref="E8:E16"/>
  </mergeCells>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4"/>
  <sheetViews>
    <sheetView topLeftCell="A22" workbookViewId="0">
      <selection activeCell="C33" sqref="C33"/>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38" t="s">
        <v>37</v>
      </c>
      <c r="B3" s="137" t="s">
        <v>38</v>
      </c>
      <c r="C3" s="136" t="s">
        <v>48</v>
      </c>
      <c r="D3" s="136"/>
      <c r="E3" s="136"/>
      <c r="F3" s="136"/>
      <c r="G3" s="136"/>
      <c r="H3" s="136"/>
      <c r="I3" s="136"/>
      <c r="J3" s="136"/>
      <c r="K3" s="136"/>
    </row>
    <row r="4" spans="1:11" x14ac:dyDescent="0.6">
      <c r="A4" s="139"/>
      <c r="B4" s="137"/>
      <c r="C4" s="116" t="s">
        <v>39</v>
      </c>
      <c r="D4" s="116" t="s">
        <v>40</v>
      </c>
      <c r="E4" s="116" t="s">
        <v>41</v>
      </c>
      <c r="F4" s="116" t="s">
        <v>42</v>
      </c>
      <c r="G4" s="116" t="s">
        <v>43</v>
      </c>
      <c r="H4" s="116" t="s">
        <v>44</v>
      </c>
      <c r="I4" s="116" t="s">
        <v>45</v>
      </c>
      <c r="J4" s="116" t="s">
        <v>46</v>
      </c>
      <c r="K4" s="116" t="s">
        <v>47</v>
      </c>
    </row>
    <row r="5" spans="1:11" x14ac:dyDescent="0.6">
      <c r="A5" s="7"/>
      <c r="B5" s="7" t="s">
        <v>49</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7" t="s">
        <v>282</v>
      </c>
      <c r="C7" s="76">
        <f>Budgets!B5*1.1*Budgets!$D$15</f>
        <v>34360788.000000007</v>
      </c>
      <c r="D7" s="76">
        <f>Budgets!C5*1.1*Budgets!$D$15</f>
        <v>36815130.000000007</v>
      </c>
      <c r="E7" s="76">
        <f>Budgets!D5*1.1*Budgets!$D$15</f>
        <v>39269472.000000007</v>
      </c>
      <c r="F7" s="76">
        <f>Budgets!E5*1.1*Budgets!$D$15</f>
        <v>41723814.000000007</v>
      </c>
      <c r="G7" s="76">
        <f>Budgets!F5*1.1*Budgets!$D$15</f>
        <v>44178156</v>
      </c>
      <c r="H7" s="76">
        <f>Budgets!G5*1.1*Budgets!$D$15</f>
        <v>46632498</v>
      </c>
      <c r="I7" s="76">
        <f>Budgets!H5*1.1*Budgets!$D$15</f>
        <v>49086840</v>
      </c>
      <c r="J7" s="76">
        <f>Budgets!I5*1.1*Budgets!$D$15</f>
        <v>49086840</v>
      </c>
      <c r="K7" s="76">
        <f>Budgets!J5*1.1*Budgets!$D$15</f>
        <v>49086840</v>
      </c>
    </row>
    <row r="8" spans="1:11" x14ac:dyDescent="0.6">
      <c r="A8" s="7"/>
      <c r="B8" s="7" t="s">
        <v>168</v>
      </c>
      <c r="C8" s="76">
        <f>45000+C41</f>
        <v>295000</v>
      </c>
      <c r="D8" s="76">
        <f t="shared" ref="D8:K8" si="0">45000+D41</f>
        <v>307500</v>
      </c>
      <c r="E8" s="76">
        <f t="shared" si="0"/>
        <v>320625</v>
      </c>
      <c r="F8" s="76">
        <f t="shared" si="0"/>
        <v>334406.25</v>
      </c>
      <c r="G8" s="76">
        <f t="shared" si="0"/>
        <v>348876.5625</v>
      </c>
      <c r="H8" s="76">
        <f t="shared" si="0"/>
        <v>364070.390625</v>
      </c>
      <c r="I8" s="76">
        <f t="shared" si="0"/>
        <v>380023.91015625</v>
      </c>
      <c r="J8" s="76">
        <f t="shared" si="0"/>
        <v>380023.91015625</v>
      </c>
      <c r="K8" s="76">
        <f t="shared" si="0"/>
        <v>380023.91015625</v>
      </c>
    </row>
    <row r="9" spans="1:11" x14ac:dyDescent="0.6">
      <c r="A9" s="7"/>
      <c r="B9" s="7" t="s">
        <v>252</v>
      </c>
      <c r="C9" s="76">
        <f>2%*'Ann 3'!E17</f>
        <v>220000</v>
      </c>
      <c r="D9" s="76">
        <f>C9*1.05</f>
        <v>231000</v>
      </c>
      <c r="E9" s="76">
        <f t="shared" ref="E9:K9" si="1">D9*1.05</f>
        <v>242550</v>
      </c>
      <c r="F9" s="76">
        <f t="shared" si="1"/>
        <v>254677.5</v>
      </c>
      <c r="G9" s="76">
        <f t="shared" si="1"/>
        <v>267411.375</v>
      </c>
      <c r="H9" s="76">
        <f t="shared" si="1"/>
        <v>280781.94375000003</v>
      </c>
      <c r="I9" s="76">
        <f t="shared" si="1"/>
        <v>294821.04093750007</v>
      </c>
      <c r="J9" s="76">
        <f t="shared" si="1"/>
        <v>309562.09298437508</v>
      </c>
      <c r="K9" s="76">
        <f t="shared" si="1"/>
        <v>325040.19763359387</v>
      </c>
    </row>
    <row r="10" spans="1:11" x14ac:dyDescent="0.6">
      <c r="A10" s="7"/>
      <c r="B10" s="7" t="s">
        <v>285</v>
      </c>
      <c r="C10" s="76">
        <f>C7*10%</f>
        <v>3436078.8000000007</v>
      </c>
      <c r="D10" s="76">
        <f t="shared" ref="D10:K10" si="2">D7*10%</f>
        <v>3681513.0000000009</v>
      </c>
      <c r="E10" s="76">
        <f t="shared" si="2"/>
        <v>3926947.2000000011</v>
      </c>
      <c r="F10" s="76">
        <f t="shared" si="2"/>
        <v>4172381.4000000008</v>
      </c>
      <c r="G10" s="76">
        <f t="shared" si="2"/>
        <v>4417815.6000000006</v>
      </c>
      <c r="H10" s="76">
        <f t="shared" si="2"/>
        <v>4663249.8</v>
      </c>
      <c r="I10" s="76">
        <f t="shared" si="2"/>
        <v>4908684</v>
      </c>
      <c r="J10" s="76">
        <f t="shared" si="2"/>
        <v>4908684</v>
      </c>
      <c r="K10" s="76">
        <f t="shared" si="2"/>
        <v>4908684</v>
      </c>
    </row>
    <row r="11" spans="1:11" x14ac:dyDescent="0.6">
      <c r="A11" s="7"/>
      <c r="B11" s="7" t="s">
        <v>170</v>
      </c>
      <c r="C11" s="76">
        <f>SUM(C7:C10)</f>
        <v>38311866.800000012</v>
      </c>
      <c r="D11" s="76">
        <f t="shared" ref="D11:K11" si="3">SUM(D7:D10)</f>
        <v>41035143.000000007</v>
      </c>
      <c r="E11" s="76">
        <f t="shared" si="3"/>
        <v>43759594.20000001</v>
      </c>
      <c r="F11" s="76">
        <f t="shared" si="3"/>
        <v>46485279.150000006</v>
      </c>
      <c r="G11" s="76">
        <f t="shared" si="3"/>
        <v>49212259.537500001</v>
      </c>
      <c r="H11" s="76">
        <f t="shared" si="3"/>
        <v>51940600.134374999</v>
      </c>
      <c r="I11" s="76">
        <f t="shared" si="3"/>
        <v>54670368.951093748</v>
      </c>
      <c r="J11" s="76">
        <f t="shared" si="3"/>
        <v>54685110.003140628</v>
      </c>
      <c r="K11" s="76">
        <f t="shared" si="3"/>
        <v>54700588.107789844</v>
      </c>
    </row>
    <row r="12" spans="1:11" x14ac:dyDescent="0.6">
      <c r="A12" s="7"/>
      <c r="B12" s="7" t="s">
        <v>254</v>
      </c>
      <c r="C12" s="76">
        <v>0</v>
      </c>
      <c r="D12" s="76">
        <f>C13</f>
        <v>380940.00000000233</v>
      </c>
      <c r="E12" s="76">
        <f t="shared" ref="E12:K12" si="4">D13</f>
        <v>789090.00000000233</v>
      </c>
      <c r="F12" s="76">
        <f t="shared" si="4"/>
        <v>1224450</v>
      </c>
      <c r="G12" s="76">
        <f t="shared" si="4"/>
        <v>1687020.0000000012</v>
      </c>
      <c r="H12" s="76">
        <f t="shared" si="4"/>
        <v>2176800</v>
      </c>
      <c r="I12" s="76">
        <f t="shared" si="4"/>
        <v>1659809.9999999977</v>
      </c>
      <c r="J12" s="76">
        <f t="shared" si="4"/>
        <v>1115609.9999999977</v>
      </c>
      <c r="K12" s="76">
        <f t="shared" si="4"/>
        <v>571409.99999999767</v>
      </c>
    </row>
    <row r="13" spans="1:11" x14ac:dyDescent="0.6">
      <c r="A13" s="7"/>
      <c r="B13" s="7" t="s">
        <v>255</v>
      </c>
      <c r="C13" s="76">
        <f>Budgets!B23*25</f>
        <v>380940.00000000233</v>
      </c>
      <c r="D13" s="76">
        <f>Budgets!C23*25</f>
        <v>789090.00000000233</v>
      </c>
      <c r="E13" s="76">
        <f>Budgets!D23*25</f>
        <v>1224450</v>
      </c>
      <c r="F13" s="76">
        <f>Budgets!E23*25</f>
        <v>1687020.0000000012</v>
      </c>
      <c r="G13" s="76">
        <f>Budgets!F23*25</f>
        <v>2176800</v>
      </c>
      <c r="H13" s="76">
        <f>Budgets!G23*25</f>
        <v>1659809.9999999977</v>
      </c>
      <c r="I13" s="76">
        <f>Budgets!H23*25</f>
        <v>1115609.9999999977</v>
      </c>
      <c r="J13" s="76">
        <f>Budgets!I23*25</f>
        <v>571409.99999999767</v>
      </c>
      <c r="K13" s="76">
        <f>Budgets!J23*25</f>
        <v>27209.999999997672</v>
      </c>
    </row>
    <row r="14" spans="1:11" x14ac:dyDescent="0.6">
      <c r="A14" s="7"/>
      <c r="B14" s="7" t="s">
        <v>171</v>
      </c>
      <c r="C14" s="76">
        <f>C11+C12-C13</f>
        <v>37930926.800000012</v>
      </c>
      <c r="D14" s="76">
        <f t="shared" ref="D14:K14" si="5">D11+D12-D13</f>
        <v>40626993.000000007</v>
      </c>
      <c r="E14" s="76">
        <f t="shared" si="5"/>
        <v>43324234.20000001</v>
      </c>
      <c r="F14" s="76">
        <f t="shared" si="5"/>
        <v>46022709.150000006</v>
      </c>
      <c r="G14" s="76">
        <f t="shared" si="5"/>
        <v>48722479.537500001</v>
      </c>
      <c r="H14" s="76">
        <f t="shared" si="5"/>
        <v>52457590.134374999</v>
      </c>
      <c r="I14" s="76">
        <f t="shared" si="5"/>
        <v>55214568.951093748</v>
      </c>
      <c r="J14" s="76">
        <f t="shared" si="5"/>
        <v>55229310.003140628</v>
      </c>
      <c r="K14" s="76">
        <f t="shared" si="5"/>
        <v>55244788.107789844</v>
      </c>
    </row>
    <row r="15" spans="1:11" x14ac:dyDescent="0.6">
      <c r="A15" s="7"/>
      <c r="B15" s="7"/>
      <c r="C15" s="76"/>
      <c r="D15" s="76"/>
      <c r="E15" s="76"/>
      <c r="F15" s="76"/>
      <c r="G15" s="76"/>
      <c r="H15" s="76"/>
      <c r="I15" s="76"/>
      <c r="J15" s="76"/>
      <c r="K15" s="76"/>
    </row>
    <row r="16" spans="1:11" x14ac:dyDescent="0.6">
      <c r="A16" s="7"/>
      <c r="B16" s="7" t="s">
        <v>51</v>
      </c>
      <c r="C16" s="76">
        <f>'Ann 8'!E13</f>
        <v>1447200</v>
      </c>
      <c r="D16" s="76">
        <f>1.06*C16</f>
        <v>1534032</v>
      </c>
      <c r="E16" s="76">
        <f t="shared" ref="E16:K16" si="6">1.06*D16</f>
        <v>1626073.9200000002</v>
      </c>
      <c r="F16" s="76">
        <f t="shared" si="6"/>
        <v>1723638.3552000003</v>
      </c>
      <c r="G16" s="76">
        <f t="shared" si="6"/>
        <v>1827056.6565120004</v>
      </c>
      <c r="H16" s="76">
        <f t="shared" si="6"/>
        <v>1936680.0559027204</v>
      </c>
      <c r="I16" s="76">
        <f t="shared" si="6"/>
        <v>2052880.8592568839</v>
      </c>
      <c r="J16" s="76">
        <f t="shared" si="6"/>
        <v>2176053.7108122972</v>
      </c>
      <c r="K16" s="76">
        <f t="shared" si="6"/>
        <v>2306616.9334610351</v>
      </c>
    </row>
    <row r="17" spans="1:11" x14ac:dyDescent="0.6">
      <c r="A17" s="7"/>
      <c r="B17" s="7" t="s">
        <v>8</v>
      </c>
      <c r="C17" s="76">
        <f t="shared" ref="C17:K17" si="7">SUM(C16:C16)</f>
        <v>1447200</v>
      </c>
      <c r="D17" s="76">
        <f t="shared" si="7"/>
        <v>1534032</v>
      </c>
      <c r="E17" s="76">
        <f t="shared" si="7"/>
        <v>1626073.9200000002</v>
      </c>
      <c r="F17" s="76">
        <f t="shared" si="7"/>
        <v>1723638.3552000003</v>
      </c>
      <c r="G17" s="76">
        <f t="shared" si="7"/>
        <v>1827056.6565120004</v>
      </c>
      <c r="H17" s="76">
        <f t="shared" si="7"/>
        <v>1936680.0559027204</v>
      </c>
      <c r="I17" s="76">
        <f t="shared" si="7"/>
        <v>2052880.8592568839</v>
      </c>
      <c r="J17" s="76">
        <f t="shared" si="7"/>
        <v>2176053.7108122972</v>
      </c>
      <c r="K17" s="76">
        <f t="shared" si="7"/>
        <v>2306616.9334610351</v>
      </c>
    </row>
    <row r="18" spans="1:11" x14ac:dyDescent="0.6">
      <c r="A18" s="7"/>
      <c r="B18" s="7"/>
      <c r="C18" s="76"/>
      <c r="D18" s="76"/>
      <c r="E18" s="76"/>
      <c r="F18" s="76"/>
      <c r="G18" s="76"/>
      <c r="H18" s="76"/>
      <c r="I18" s="76"/>
      <c r="J18" s="76"/>
      <c r="K18" s="76"/>
    </row>
    <row r="19" spans="1:11" x14ac:dyDescent="0.6">
      <c r="A19" s="7"/>
      <c r="B19" s="7" t="s">
        <v>86</v>
      </c>
      <c r="C19" s="76">
        <f t="shared" ref="C19:K19" si="8">C17+C14</f>
        <v>39378126.800000012</v>
      </c>
      <c r="D19" s="76">
        <f t="shared" si="8"/>
        <v>42161025.000000007</v>
      </c>
      <c r="E19" s="76">
        <f t="shared" si="8"/>
        <v>44950308.120000012</v>
      </c>
      <c r="F19" s="76">
        <f t="shared" si="8"/>
        <v>47746347.505200006</v>
      </c>
      <c r="G19" s="76">
        <f t="shared" si="8"/>
        <v>50549536.194012001</v>
      </c>
      <c r="H19" s="76">
        <f t="shared" si="8"/>
        <v>54394270.190277718</v>
      </c>
      <c r="I19" s="76">
        <f t="shared" si="8"/>
        <v>57267449.810350634</v>
      </c>
      <c r="J19" s="76">
        <f t="shared" si="8"/>
        <v>57405363.713952929</v>
      </c>
      <c r="K19" s="76">
        <f t="shared" si="8"/>
        <v>57551405.041250877</v>
      </c>
    </row>
    <row r="20" spans="1:11" x14ac:dyDescent="0.6">
      <c r="A20" s="7"/>
      <c r="B20" s="7" t="s">
        <v>87</v>
      </c>
      <c r="C20" s="76">
        <f>Budgets!B7</f>
        <v>41141520</v>
      </c>
      <c r="D20" s="76">
        <f>Budgets!C7</f>
        <v>48488220.000000007</v>
      </c>
      <c r="E20" s="76">
        <f>Budgets!D7</f>
        <v>51720768.000000007</v>
      </c>
      <c r="F20" s="76">
        <f>Budgets!E7</f>
        <v>54953316.000000007</v>
      </c>
      <c r="G20" s="76">
        <f>Budgets!F7</f>
        <v>58185864.000000007</v>
      </c>
      <c r="H20" s="76">
        <f>Budgets!G7</f>
        <v>61418412.000000007</v>
      </c>
      <c r="I20" s="76">
        <f>Budgets!H7</f>
        <v>64650960.000000007</v>
      </c>
      <c r="J20" s="76">
        <f>Budgets!I7</f>
        <v>64650960.000000007</v>
      </c>
      <c r="K20" s="76">
        <f>Budgets!J7</f>
        <v>64650960.000000007</v>
      </c>
    </row>
    <row r="21" spans="1:11" x14ac:dyDescent="0.6">
      <c r="A21" s="7"/>
      <c r="B21" s="7" t="s">
        <v>88</v>
      </c>
      <c r="C21" s="76">
        <f>C20-C19</f>
        <v>1763393.1999999881</v>
      </c>
      <c r="D21" s="76">
        <f t="shared" ref="D21:K21" si="9">D20-D19</f>
        <v>6327195</v>
      </c>
      <c r="E21" s="76">
        <f t="shared" si="9"/>
        <v>6770459.8799999952</v>
      </c>
      <c r="F21" s="76">
        <f t="shared" si="9"/>
        <v>7206968.4948000014</v>
      </c>
      <c r="G21" s="76">
        <f t="shared" si="9"/>
        <v>7636327.8059880063</v>
      </c>
      <c r="H21" s="76">
        <f t="shared" si="9"/>
        <v>7024141.8097222894</v>
      </c>
      <c r="I21" s="76">
        <f t="shared" si="9"/>
        <v>7383510.1896493733</v>
      </c>
      <c r="J21" s="76">
        <f t="shared" si="9"/>
        <v>7245596.2860470787</v>
      </c>
      <c r="K21" s="76">
        <f t="shared" si="9"/>
        <v>7099554.9587491304</v>
      </c>
    </row>
    <row r="22" spans="1:11" x14ac:dyDescent="0.6">
      <c r="A22" s="7"/>
      <c r="B22" s="7"/>
      <c r="C22" s="76"/>
      <c r="D22" s="76"/>
      <c r="E22" s="76"/>
      <c r="F22" s="76"/>
      <c r="G22" s="76"/>
      <c r="H22" s="76"/>
      <c r="I22" s="76"/>
      <c r="J22" s="76"/>
      <c r="K22" s="76"/>
    </row>
    <row r="23" spans="1:11" x14ac:dyDescent="0.6">
      <c r="A23" s="7"/>
      <c r="B23" s="7" t="s">
        <v>89</v>
      </c>
      <c r="C23" s="76"/>
      <c r="D23" s="76"/>
      <c r="E23" s="76"/>
      <c r="F23" s="76"/>
      <c r="G23" s="76"/>
      <c r="H23" s="76"/>
      <c r="I23" s="76"/>
      <c r="J23" s="76"/>
      <c r="K23" s="76"/>
    </row>
    <row r="24" spans="1:11" x14ac:dyDescent="0.6">
      <c r="A24" s="7"/>
      <c r="B24" s="7" t="s">
        <v>90</v>
      </c>
      <c r="C24" s="76">
        <f>SUM('Ann 13'!E10:E13)*100000</f>
        <v>695250</v>
      </c>
      <c r="D24" s="76">
        <f>SUM('Ann 13'!E14:E17)*100000</f>
        <v>607499.99999999988</v>
      </c>
      <c r="E24" s="76">
        <f>SUM('Ann 13'!E18:E21)*100000</f>
        <v>499499.99999999994</v>
      </c>
      <c r="F24" s="76">
        <f>SUM('Ann 13'!E22:E25)*100000</f>
        <v>391500</v>
      </c>
      <c r="G24" s="76">
        <f>SUM('Ann 13'!E26:E29)*100000</f>
        <v>283499.99999999994</v>
      </c>
      <c r="H24" s="76">
        <f>SUM('Ann 13'!E30:E33)*100000</f>
        <v>54000</v>
      </c>
      <c r="I24" s="76">
        <f>SUM('Ann 13'!E34:E37)*100000</f>
        <v>0</v>
      </c>
      <c r="J24" s="76">
        <v>0</v>
      </c>
      <c r="K24" s="76">
        <v>0</v>
      </c>
    </row>
    <row r="25" spans="1:11" x14ac:dyDescent="0.6">
      <c r="A25" s="7"/>
      <c r="B25" s="7" t="s">
        <v>162</v>
      </c>
      <c r="C25" s="76">
        <f>'Ann 1'!$C$25*100000*10%</f>
        <v>36000</v>
      </c>
      <c r="D25" s="76">
        <f>'Ann 1'!$C$25*100000*10%</f>
        <v>36000</v>
      </c>
      <c r="E25" s="76">
        <f>'Ann 1'!$C$25*100000*10%</f>
        <v>36000</v>
      </c>
      <c r="F25" s="76">
        <f>'Ann 1'!$C$25*100000*10%</f>
        <v>36000</v>
      </c>
      <c r="G25" s="76">
        <f>'Ann 1'!$C$25*100000*10%</f>
        <v>36000</v>
      </c>
      <c r="H25" s="76">
        <f>'Ann 1'!$C$25*100000*10%</f>
        <v>36000</v>
      </c>
      <c r="I25" s="76">
        <f>'Ann 1'!$C$25*100000*10%</f>
        <v>36000</v>
      </c>
      <c r="J25" s="76">
        <f>'Ann 1'!$C$25*100000*10%</f>
        <v>36000</v>
      </c>
      <c r="K25" s="76">
        <f>'Ann 1'!$C$25*100000*10%</f>
        <v>36000</v>
      </c>
    </row>
    <row r="26" spans="1:11" x14ac:dyDescent="0.6">
      <c r="A26" s="7"/>
      <c r="B26" s="75" t="s">
        <v>270</v>
      </c>
      <c r="C26" s="76">
        <f>SUM(C24:C25)</f>
        <v>731250</v>
      </c>
      <c r="D26" s="76">
        <f t="shared" ref="D26:K26" si="10">SUM(D24:D25)</f>
        <v>643499.99999999988</v>
      </c>
      <c r="E26" s="76">
        <f t="shared" si="10"/>
        <v>535500</v>
      </c>
      <c r="F26" s="76">
        <f t="shared" si="10"/>
        <v>427500</v>
      </c>
      <c r="G26" s="76">
        <f t="shared" si="10"/>
        <v>319499.99999999994</v>
      </c>
      <c r="H26" s="76">
        <f t="shared" si="10"/>
        <v>90000</v>
      </c>
      <c r="I26" s="76">
        <f t="shared" si="10"/>
        <v>36000</v>
      </c>
      <c r="J26" s="76">
        <f t="shared" si="10"/>
        <v>36000</v>
      </c>
      <c r="K26" s="76">
        <f t="shared" si="10"/>
        <v>36000</v>
      </c>
    </row>
    <row r="27" spans="1:11" x14ac:dyDescent="0.6">
      <c r="A27" s="7"/>
      <c r="B27" s="7"/>
      <c r="C27" s="76"/>
      <c r="D27" s="76"/>
      <c r="E27" s="76"/>
      <c r="F27" s="76"/>
      <c r="G27" s="76"/>
      <c r="H27" s="76"/>
      <c r="I27" s="76"/>
      <c r="J27" s="76"/>
      <c r="K27" s="76"/>
    </row>
    <row r="28" spans="1:11" x14ac:dyDescent="0.6">
      <c r="A28" s="7"/>
      <c r="B28" s="7" t="s">
        <v>100</v>
      </c>
      <c r="C28" s="76">
        <f t="shared" ref="C28:K28" si="11">C21-C26</f>
        <v>1032143.1999999881</v>
      </c>
      <c r="D28" s="76">
        <f t="shared" si="11"/>
        <v>5683695</v>
      </c>
      <c r="E28" s="76">
        <f t="shared" si="11"/>
        <v>6234959.8799999952</v>
      </c>
      <c r="F28" s="76">
        <f t="shared" si="11"/>
        <v>6779468.4948000014</v>
      </c>
      <c r="G28" s="76">
        <f t="shared" si="11"/>
        <v>7316827.8059880063</v>
      </c>
      <c r="H28" s="76">
        <f t="shared" si="11"/>
        <v>6934141.8097222894</v>
      </c>
      <c r="I28" s="76">
        <f t="shared" si="11"/>
        <v>7347510.1896493733</v>
      </c>
      <c r="J28" s="76">
        <f t="shared" si="11"/>
        <v>7209596.2860470787</v>
      </c>
      <c r="K28" s="76">
        <f t="shared" si="11"/>
        <v>7063554.9587491304</v>
      </c>
    </row>
    <row r="29" spans="1:11" x14ac:dyDescent="0.6">
      <c r="A29" s="7"/>
      <c r="B29" s="7" t="s">
        <v>173</v>
      </c>
      <c r="C29" s="76">
        <f>'Ann 1'!C34*100000</f>
        <v>40000</v>
      </c>
      <c r="D29" s="76">
        <v>0</v>
      </c>
      <c r="E29" s="76">
        <v>0</v>
      </c>
      <c r="F29" s="76">
        <v>0</v>
      </c>
      <c r="G29" s="76">
        <v>0</v>
      </c>
      <c r="H29" s="76">
        <v>0</v>
      </c>
      <c r="I29" s="76">
        <v>0</v>
      </c>
      <c r="J29" s="76">
        <v>0</v>
      </c>
      <c r="K29" s="76">
        <v>0</v>
      </c>
    </row>
    <row r="30" spans="1:11" x14ac:dyDescent="0.6">
      <c r="A30" s="7"/>
      <c r="B30" s="75" t="s">
        <v>101</v>
      </c>
      <c r="C30" s="76">
        <f>'Ann 9'!C12+'Ann 9'!D12+'Ann 9'!E12</f>
        <v>1850000</v>
      </c>
      <c r="D30" s="76">
        <f>'Ann 9'!C13+'Ann 9'!D13+'Ann 9'!E13</f>
        <v>1582500</v>
      </c>
      <c r="E30" s="76">
        <f>'Ann 9'!C14+'Ann 9'!D14+'Ann 9'!E14</f>
        <v>1354125</v>
      </c>
      <c r="F30" s="76">
        <f>'Ann 9'!C15+'Ann 9'!D15+'Ann 9'!E15</f>
        <v>1159106.25</v>
      </c>
      <c r="G30" s="76">
        <f>'Ann 9'!C16+'Ann 9'!D16+'Ann 9'!E16</f>
        <v>992530.3125</v>
      </c>
      <c r="H30" s="76">
        <f>'Ann 9'!C17+'Ann 9'!D17+'Ann 9'!E17</f>
        <v>850211.765625</v>
      </c>
      <c r="I30" s="76">
        <f>'Ann 9'!C18+'Ann 9'!D18+'Ann 9'!E18</f>
        <v>728584.90078124998</v>
      </c>
      <c r="J30" s="76">
        <f>'Ann 9'!C19+'Ann 9'!D19+'Ann 9'!E19</f>
        <v>624611.57566406252</v>
      </c>
      <c r="K30" s="76">
        <f>'Ann 9'!C20+'Ann 9'!D20+'Ann 9'!E20</f>
        <v>535702.80831445323</v>
      </c>
    </row>
    <row r="31" spans="1:11" x14ac:dyDescent="0.6">
      <c r="A31" s="7"/>
      <c r="B31" s="75" t="s">
        <v>308</v>
      </c>
      <c r="C31" s="76">
        <v>0</v>
      </c>
      <c r="D31" s="76">
        <v>0</v>
      </c>
      <c r="E31" s="76">
        <v>0</v>
      </c>
      <c r="F31" s="76">
        <v>0</v>
      </c>
      <c r="G31" s="76">
        <v>0</v>
      </c>
      <c r="H31" s="76">
        <f>'Ann 13'!D5*100000</f>
        <v>3260000</v>
      </c>
      <c r="I31" s="76">
        <v>0</v>
      </c>
      <c r="J31" s="76">
        <v>0</v>
      </c>
      <c r="K31" s="76">
        <v>0</v>
      </c>
    </row>
    <row r="32" spans="1:11" x14ac:dyDescent="0.6">
      <c r="A32" s="7"/>
      <c r="B32" s="75" t="s">
        <v>102</v>
      </c>
      <c r="C32" s="76">
        <f>C28-C29-C30</f>
        <v>-857856.80000001192</v>
      </c>
      <c r="D32" s="76">
        <f t="shared" ref="D32:K32" si="12">D28-D29-D30</f>
        <v>4101195</v>
      </c>
      <c r="E32" s="76">
        <f t="shared" si="12"/>
        <v>4880834.8799999952</v>
      </c>
      <c r="F32" s="76">
        <f t="shared" si="12"/>
        <v>5620362.2448000014</v>
      </c>
      <c r="G32" s="76">
        <f t="shared" si="12"/>
        <v>6324297.4934880063</v>
      </c>
      <c r="H32" s="76">
        <f>H28-H29-H30+H31</f>
        <v>9343930.0440972894</v>
      </c>
      <c r="I32" s="76">
        <f t="shared" ref="I32:K32" si="13">I28-I29-I30+I31</f>
        <v>6618925.2888681237</v>
      </c>
      <c r="J32" s="76">
        <f t="shared" si="13"/>
        <v>6584984.7103830166</v>
      </c>
      <c r="K32" s="76">
        <f t="shared" si="13"/>
        <v>6527852.1504346775</v>
      </c>
    </row>
    <row r="33" spans="1:11" x14ac:dyDescent="0.6">
      <c r="A33" s="7"/>
      <c r="B33" s="75" t="s">
        <v>313</v>
      </c>
      <c r="C33" s="76">
        <f>'Ann 10'!B14</f>
        <v>-245357.04000000356</v>
      </c>
      <c r="D33" s="76">
        <f>'Ann 10'!C14</f>
        <v>1230358.5</v>
      </c>
      <c r="E33" s="76">
        <f>'Ann 10'!D14</f>
        <v>1464250.4639999985</v>
      </c>
      <c r="F33" s="76">
        <f>'Ann 10'!E14</f>
        <v>1686108.6734400003</v>
      </c>
      <c r="G33" s="76">
        <f>'Ann 10'!F14</f>
        <v>1897289.2480464019</v>
      </c>
      <c r="H33" s="76">
        <f>'Ann 10'!G14</f>
        <v>1825179.0132291869</v>
      </c>
      <c r="I33" s="76">
        <f>'Ann 10'!H14</f>
        <v>1985677.5866604371</v>
      </c>
      <c r="J33" s="76">
        <f>'Ann 10'!I14</f>
        <v>1975495.4131149049</v>
      </c>
      <c r="K33" s="76">
        <f>'Ann 10'!J14</f>
        <v>1958355.6451304031</v>
      </c>
    </row>
    <row r="34" spans="1:11" x14ac:dyDescent="0.6">
      <c r="A34" s="7"/>
      <c r="B34" s="75" t="s">
        <v>103</v>
      </c>
      <c r="C34" s="76">
        <f>C32-C33</f>
        <v>-612499.76000000839</v>
      </c>
      <c r="D34" s="76">
        <f>D32-D33</f>
        <v>2870836.5</v>
      </c>
      <c r="E34" s="76">
        <f t="shared" ref="E34:K34" si="14">E32-E33</f>
        <v>3416584.4159999965</v>
      </c>
      <c r="F34" s="76">
        <f t="shared" si="14"/>
        <v>3934253.5713600013</v>
      </c>
      <c r="G34" s="76">
        <f t="shared" si="14"/>
        <v>4427008.2454416044</v>
      </c>
      <c r="H34" s="76">
        <f t="shared" si="14"/>
        <v>7518751.0308681028</v>
      </c>
      <c r="I34" s="76">
        <f t="shared" si="14"/>
        <v>4633247.7022076864</v>
      </c>
      <c r="J34" s="76">
        <f t="shared" si="14"/>
        <v>4609489.2972681113</v>
      </c>
      <c r="K34" s="76">
        <f t="shared" si="14"/>
        <v>4569496.5053042741</v>
      </c>
    </row>
    <row r="35" spans="1:11" x14ac:dyDescent="0.6">
      <c r="A35" s="7"/>
      <c r="B35" s="75" t="s">
        <v>264</v>
      </c>
      <c r="C35" s="76">
        <v>0</v>
      </c>
      <c r="D35" s="76">
        <f t="shared" ref="D35:K35" si="15">D34*80%</f>
        <v>2296669.2000000002</v>
      </c>
      <c r="E35" s="76">
        <f t="shared" si="15"/>
        <v>2733267.5327999974</v>
      </c>
      <c r="F35" s="76">
        <f t="shared" si="15"/>
        <v>3147402.8570880014</v>
      </c>
      <c r="G35" s="76">
        <f t="shared" si="15"/>
        <v>3541606.5963532836</v>
      </c>
      <c r="H35" s="76">
        <f t="shared" si="15"/>
        <v>6015000.8246944826</v>
      </c>
      <c r="I35" s="76">
        <f t="shared" si="15"/>
        <v>3706598.1617661491</v>
      </c>
      <c r="J35" s="76">
        <f t="shared" si="15"/>
        <v>3687591.437814489</v>
      </c>
      <c r="K35" s="76">
        <f t="shared" si="15"/>
        <v>3655597.2042434197</v>
      </c>
    </row>
    <row r="36" spans="1:11" x14ac:dyDescent="0.6">
      <c r="A36" s="7"/>
      <c r="B36" s="75" t="s">
        <v>113</v>
      </c>
      <c r="C36" s="76">
        <f>C34-C35</f>
        <v>-612499.76000000839</v>
      </c>
      <c r="D36" s="76">
        <f t="shared" ref="D36:K36" si="16">D34-D35</f>
        <v>574167.29999999981</v>
      </c>
      <c r="E36" s="76">
        <f t="shared" si="16"/>
        <v>683316.88319999911</v>
      </c>
      <c r="F36" s="76">
        <f t="shared" si="16"/>
        <v>786850.7142719999</v>
      </c>
      <c r="G36" s="76">
        <f t="shared" si="16"/>
        <v>885401.64908832079</v>
      </c>
      <c r="H36" s="76">
        <f t="shared" si="16"/>
        <v>1503750.2061736202</v>
      </c>
      <c r="I36" s="76">
        <f t="shared" si="16"/>
        <v>926649.54044153728</v>
      </c>
      <c r="J36" s="76">
        <f t="shared" si="16"/>
        <v>921897.85945362225</v>
      </c>
      <c r="K36" s="76">
        <f t="shared" si="16"/>
        <v>913899.30106085446</v>
      </c>
    </row>
    <row r="38" spans="1:11" x14ac:dyDescent="0.6">
      <c r="A38" s="6" t="s">
        <v>286</v>
      </c>
    </row>
    <row r="39" spans="1:11" x14ac:dyDescent="0.6">
      <c r="A39" s="6" t="s">
        <v>278</v>
      </c>
    </row>
    <row r="40" spans="1:11" x14ac:dyDescent="0.6">
      <c r="B40" s="6" t="s">
        <v>169</v>
      </c>
      <c r="C40" s="6">
        <v>25000</v>
      </c>
      <c r="D40" s="6">
        <f>C40*1.05</f>
        <v>26250</v>
      </c>
      <c r="E40" s="6">
        <f t="shared" ref="E40:I40" si="17">D40*1.05</f>
        <v>27562.5</v>
      </c>
      <c r="F40" s="6">
        <f t="shared" si="17"/>
        <v>28940.625</v>
      </c>
      <c r="G40" s="6">
        <f t="shared" si="17"/>
        <v>30387.65625</v>
      </c>
      <c r="H40" s="6">
        <f t="shared" si="17"/>
        <v>31907.0390625</v>
      </c>
      <c r="I40" s="6">
        <f t="shared" si="17"/>
        <v>33502.391015624999</v>
      </c>
      <c r="J40" s="6">
        <f>I40</f>
        <v>33502.391015624999</v>
      </c>
      <c r="K40" s="6">
        <f>J40</f>
        <v>33502.391015624999</v>
      </c>
    </row>
    <row r="41" spans="1:11" x14ac:dyDescent="0.6">
      <c r="B41" s="6" t="s">
        <v>72</v>
      </c>
      <c r="C41" s="6">
        <f>C40*10</f>
        <v>250000</v>
      </c>
      <c r="D41" s="6">
        <f>D40*10</f>
        <v>262500</v>
      </c>
      <c r="E41" s="6">
        <f t="shared" ref="E41:K41" si="18">E40*10</f>
        <v>275625</v>
      </c>
      <c r="F41" s="6">
        <f t="shared" si="18"/>
        <v>289406.25</v>
      </c>
      <c r="G41" s="6">
        <f t="shared" si="18"/>
        <v>303876.5625</v>
      </c>
      <c r="H41" s="6">
        <f t="shared" si="18"/>
        <v>319070.390625</v>
      </c>
      <c r="I41" s="6">
        <f t="shared" si="18"/>
        <v>335023.91015625</v>
      </c>
      <c r="J41" s="6">
        <f t="shared" si="18"/>
        <v>335023.91015625</v>
      </c>
      <c r="K41" s="6">
        <f t="shared" si="18"/>
        <v>335023.91015625</v>
      </c>
    </row>
    <row r="42" spans="1:11" x14ac:dyDescent="0.6">
      <c r="A42" s="6" t="s">
        <v>279</v>
      </c>
    </row>
    <row r="43" spans="1:11" x14ac:dyDescent="0.6">
      <c r="A43" s="6" t="s">
        <v>287</v>
      </c>
    </row>
    <row r="44" spans="1:11" x14ac:dyDescent="0.6">
      <c r="A44" s="6" t="s">
        <v>292</v>
      </c>
    </row>
  </sheetData>
  <mergeCells count="3">
    <mergeCell ref="C3:K3"/>
    <mergeCell ref="B3:B4"/>
    <mergeCell ref="A3:A4"/>
  </mergeCells>
  <pageMargins left="0.7" right="0.7" top="0.75" bottom="0.75" header="0.3" footer="0.3"/>
  <pageSetup scale="59" fitToHeight="0" orientation="landscape" r:id="rId1"/>
  <ignoredErrors>
    <ignoredError sqref="D2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topLeftCell="A36" workbookViewId="0">
      <selection activeCell="F51" sqref="F51"/>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114</v>
      </c>
    </row>
    <row r="3" spans="1:11" x14ac:dyDescent="0.6">
      <c r="A3" s="6" t="s">
        <v>115</v>
      </c>
    </row>
    <row r="5" spans="1:11" x14ac:dyDescent="0.6">
      <c r="A5" s="140" t="s">
        <v>37</v>
      </c>
      <c r="B5" s="140" t="s">
        <v>38</v>
      </c>
      <c r="C5" s="140" t="s">
        <v>48</v>
      </c>
      <c r="D5" s="140"/>
      <c r="E5" s="140"/>
      <c r="F5" s="140"/>
      <c r="G5" s="140"/>
      <c r="H5" s="140"/>
      <c r="I5" s="140"/>
      <c r="J5" s="140"/>
      <c r="K5" s="140"/>
    </row>
    <row r="6" spans="1:11" x14ac:dyDescent="0.6">
      <c r="A6" s="140"/>
      <c r="B6" s="140"/>
      <c r="C6" s="27" t="s">
        <v>39</v>
      </c>
      <c r="D6" s="27" t="s">
        <v>40</v>
      </c>
      <c r="E6" s="27" t="s">
        <v>41</v>
      </c>
      <c r="F6" s="27" t="s">
        <v>42</v>
      </c>
      <c r="G6" s="27" t="s">
        <v>43</v>
      </c>
      <c r="H6" s="27" t="s">
        <v>44</v>
      </c>
      <c r="I6" s="27" t="s">
        <v>45</v>
      </c>
      <c r="J6" s="27" t="s">
        <v>46</v>
      </c>
      <c r="K6" s="27" t="s">
        <v>47</v>
      </c>
    </row>
    <row r="7" spans="1:11" x14ac:dyDescent="0.6">
      <c r="A7" s="36" t="s">
        <v>148</v>
      </c>
      <c r="B7" s="53" t="s">
        <v>116</v>
      </c>
      <c r="C7" s="54"/>
      <c r="D7" s="54"/>
      <c r="E7" s="55"/>
      <c r="F7" s="55"/>
      <c r="G7" s="55"/>
      <c r="H7" s="55"/>
      <c r="I7" s="55"/>
      <c r="J7" s="55"/>
      <c r="K7" s="55"/>
    </row>
    <row r="8" spans="1:11" x14ac:dyDescent="0.6">
      <c r="A8" s="29">
        <v>1</v>
      </c>
      <c r="B8" s="30" t="s">
        <v>117</v>
      </c>
      <c r="C8" s="12"/>
      <c r="D8" s="12"/>
      <c r="E8" s="13"/>
      <c r="F8" s="13"/>
      <c r="G8" s="13"/>
      <c r="H8" s="13"/>
      <c r="I8" s="13"/>
      <c r="J8" s="13"/>
      <c r="K8" s="13"/>
    </row>
    <row r="9" spans="1:11" x14ac:dyDescent="0.6">
      <c r="A9" s="29"/>
      <c r="B9" s="30" t="s">
        <v>118</v>
      </c>
      <c r="C9" s="56">
        <f>('Ann 9'!F9*100000)+('Ann 1'!C8*100000)</f>
        <v>13000000</v>
      </c>
      <c r="D9" s="57">
        <f>C11</f>
        <v>11150000</v>
      </c>
      <c r="E9" s="16">
        <f t="shared" ref="E9:K9" si="0">D11</f>
        <v>9567500</v>
      </c>
      <c r="F9" s="16">
        <f t="shared" si="0"/>
        <v>8213375</v>
      </c>
      <c r="G9" s="16">
        <f t="shared" si="0"/>
        <v>7054268.75</v>
      </c>
      <c r="H9" s="16">
        <f t="shared" si="0"/>
        <v>6061738.4375</v>
      </c>
      <c r="I9" s="16">
        <f t="shared" si="0"/>
        <v>5211526.671875</v>
      </c>
      <c r="J9" s="16">
        <f t="shared" si="0"/>
        <v>4482941.7710937504</v>
      </c>
      <c r="K9" s="16">
        <f t="shared" si="0"/>
        <v>3858330.1954296879</v>
      </c>
    </row>
    <row r="10" spans="1:11" x14ac:dyDescent="0.6">
      <c r="A10" s="29"/>
      <c r="B10" s="30" t="s">
        <v>119</v>
      </c>
      <c r="C10" s="56">
        <f>'Ann 9'!C12+'Ann 9'!D12+'Ann 9'!E12</f>
        <v>1850000</v>
      </c>
      <c r="D10" s="57">
        <f>'Ann 9'!C13+'Ann 9'!D13+'Ann 9'!E13</f>
        <v>1582500</v>
      </c>
      <c r="E10" s="16">
        <f>'Ann 9'!C14+'Ann 9'!D14+'Ann 9'!E14</f>
        <v>1354125</v>
      </c>
      <c r="F10" s="16">
        <f>'Ann 9'!C15+'Ann 9'!D15+'Ann 9'!E15</f>
        <v>1159106.25</v>
      </c>
      <c r="G10" s="16">
        <f>'Ann 9'!C16+'Ann 9'!D16+'Ann 9'!E16</f>
        <v>992530.3125</v>
      </c>
      <c r="H10" s="16">
        <f>'Ann 9'!C17+'Ann 9'!D17+'Ann 9'!E17</f>
        <v>850211.765625</v>
      </c>
      <c r="I10" s="16">
        <f>+'Ann 9'!C18+'Ann 9'!D18+'Ann 9'!E18</f>
        <v>728584.90078124998</v>
      </c>
      <c r="J10" s="16">
        <f>'Ann 9'!C19+'Ann 9'!D19+'Ann 9'!E19</f>
        <v>624611.57566406252</v>
      </c>
      <c r="K10" s="16">
        <f>+'Ann 9'!C20+'Ann 9'!D20+'Ann 9'!E20</f>
        <v>535702.80831445323</v>
      </c>
    </row>
    <row r="11" spans="1:11" x14ac:dyDescent="0.6">
      <c r="A11" s="29"/>
      <c r="B11" s="30" t="s">
        <v>120</v>
      </c>
      <c r="C11" s="56">
        <f>C9-C10</f>
        <v>11150000</v>
      </c>
      <c r="D11" s="57">
        <f>D9-D10</f>
        <v>9567500</v>
      </c>
      <c r="E11" s="16">
        <f t="shared" ref="E11:K11" si="1">E9-E10</f>
        <v>8213375</v>
      </c>
      <c r="F11" s="16">
        <f t="shared" si="1"/>
        <v>7054268.75</v>
      </c>
      <c r="G11" s="16">
        <f t="shared" si="1"/>
        <v>6061738.4375</v>
      </c>
      <c r="H11" s="16">
        <f t="shared" si="1"/>
        <v>5211526.671875</v>
      </c>
      <c r="I11" s="16">
        <f t="shared" si="1"/>
        <v>4482941.7710937504</v>
      </c>
      <c r="J11" s="16">
        <f t="shared" si="1"/>
        <v>3858330.1954296879</v>
      </c>
      <c r="K11" s="16">
        <f t="shared" si="1"/>
        <v>3322627.3871152345</v>
      </c>
    </row>
    <row r="12" spans="1:11" x14ac:dyDescent="0.6">
      <c r="A12" s="29">
        <v>2</v>
      </c>
      <c r="B12" s="30" t="s">
        <v>121</v>
      </c>
      <c r="C12" s="56">
        <f>'Ann 4'!C20*60/300</f>
        <v>8228304</v>
      </c>
      <c r="D12" s="56">
        <f>'Ann 4'!D20*60/300</f>
        <v>9697644.0000000019</v>
      </c>
      <c r="E12" s="56">
        <f>'Ann 4'!E20*60/300</f>
        <v>10344153.600000001</v>
      </c>
      <c r="F12" s="56">
        <f>'Ann 4'!F20*60/300</f>
        <v>10990663.200000001</v>
      </c>
      <c r="G12" s="56">
        <f>'Ann 4'!G20*60/300</f>
        <v>11637172.800000001</v>
      </c>
      <c r="H12" s="56">
        <f>'Ann 4'!H20*60/300</f>
        <v>12283682.400000002</v>
      </c>
      <c r="I12" s="56">
        <f>'Ann 4'!I20*60/300</f>
        <v>12930192.000000002</v>
      </c>
      <c r="J12" s="56">
        <f>'Ann 4'!J20*60/300</f>
        <v>12930192.000000002</v>
      </c>
      <c r="K12" s="56">
        <f>'Ann 4'!K20*60/300</f>
        <v>12930192.000000002</v>
      </c>
    </row>
    <row r="13" spans="1:11" x14ac:dyDescent="0.6">
      <c r="A13" s="29">
        <v>3</v>
      </c>
      <c r="B13" s="58" t="s">
        <v>266</v>
      </c>
      <c r="C13" s="56">
        <f>'Ann 4'!C13</f>
        <v>380940.00000000233</v>
      </c>
      <c r="D13" s="56">
        <f>'Ann 4'!D13</f>
        <v>789090.00000000233</v>
      </c>
      <c r="E13" s="56">
        <f>'Ann 4'!E13</f>
        <v>1224450</v>
      </c>
      <c r="F13" s="56">
        <f>'Ann 4'!F13</f>
        <v>1687020.0000000012</v>
      </c>
      <c r="G13" s="56">
        <f>'Ann 4'!G13</f>
        <v>2176800</v>
      </c>
      <c r="H13" s="56">
        <f>'Ann 4'!H13</f>
        <v>1659809.9999999977</v>
      </c>
      <c r="I13" s="56">
        <f>'Ann 4'!I13</f>
        <v>1115609.9999999977</v>
      </c>
      <c r="J13" s="56">
        <f>'Ann 4'!J13</f>
        <v>571409.99999999767</v>
      </c>
      <c r="K13" s="56">
        <f>'Ann 4'!K13</f>
        <v>27209.999999997672</v>
      </c>
    </row>
    <row r="14" spans="1:11" x14ac:dyDescent="0.6">
      <c r="A14" s="29">
        <v>4</v>
      </c>
      <c r="B14" s="30" t="s">
        <v>122</v>
      </c>
      <c r="C14" s="59">
        <f>'Ann 14'!C21</f>
        <v>3467316.2799999947</v>
      </c>
      <c r="D14" s="59">
        <f>'Ann 14'!D21</f>
        <v>2756426.4399999892</v>
      </c>
      <c r="E14" s="59">
        <f>'Ann 14'!E21</f>
        <v>2721931.5831999946</v>
      </c>
      <c r="F14" s="59">
        <f>'Ann 14'!F21</f>
        <v>2568741.8074719831</v>
      </c>
      <c r="G14" s="59">
        <f>'Ann 14'!G21</f>
        <v>2320317.0290603093</v>
      </c>
      <c r="H14" s="59">
        <f>'Ann 14'!H21</f>
        <v>1754692.2608589297</v>
      </c>
      <c r="I14" s="59">
        <f>'Ann 14'!I21</f>
        <v>4117549.9620817155</v>
      </c>
      <c r="J14" s="59">
        <f>'Ann 14'!J21</f>
        <v>6208259.3971994072</v>
      </c>
      <c r="K14" s="59">
        <f>'Ann 14'!K21</f>
        <v>8202061.5065747146</v>
      </c>
    </row>
    <row r="15" spans="1:11" x14ac:dyDescent="0.6">
      <c r="A15" s="29"/>
      <c r="B15" s="30" t="s">
        <v>130</v>
      </c>
      <c r="C15" s="56">
        <f t="shared" ref="C15:K15" si="2">SUM(C11:C14)</f>
        <v>23226560.279999997</v>
      </c>
      <c r="D15" s="56">
        <f t="shared" si="2"/>
        <v>22810660.439999994</v>
      </c>
      <c r="E15" s="60">
        <f t="shared" si="2"/>
        <v>22503910.183199994</v>
      </c>
      <c r="F15" s="60">
        <f t="shared" si="2"/>
        <v>22300693.757471986</v>
      </c>
      <c r="G15" s="60">
        <f t="shared" si="2"/>
        <v>22196028.266560309</v>
      </c>
      <c r="H15" s="60">
        <f t="shared" si="2"/>
        <v>20909711.332733929</v>
      </c>
      <c r="I15" s="60">
        <f t="shared" si="2"/>
        <v>22646293.733175464</v>
      </c>
      <c r="J15" s="60">
        <f t="shared" si="2"/>
        <v>23568191.592629094</v>
      </c>
      <c r="K15" s="60">
        <f t="shared" si="2"/>
        <v>24482090.893689949</v>
      </c>
    </row>
    <row r="16" spans="1:11" x14ac:dyDescent="0.6">
      <c r="A16" s="29"/>
      <c r="B16" s="30"/>
      <c r="C16" s="56"/>
      <c r="D16" s="56"/>
      <c r="E16" s="60"/>
      <c r="F16" s="60"/>
      <c r="G16" s="60"/>
      <c r="H16" s="60"/>
      <c r="I16" s="60"/>
      <c r="J16" s="60"/>
      <c r="K16" s="60"/>
    </row>
    <row r="17" spans="1:13" x14ac:dyDescent="0.6">
      <c r="A17" s="29" t="s">
        <v>149</v>
      </c>
      <c r="B17" s="61" t="s">
        <v>123</v>
      </c>
      <c r="C17" s="12"/>
      <c r="D17" s="12"/>
      <c r="E17" s="13"/>
      <c r="F17" s="13"/>
      <c r="G17" s="13"/>
      <c r="H17" s="13"/>
      <c r="I17" s="13"/>
      <c r="J17" s="13"/>
      <c r="K17" s="13"/>
    </row>
    <row r="18" spans="1:13" x14ac:dyDescent="0.6">
      <c r="A18" s="29">
        <v>1</v>
      </c>
      <c r="B18" s="30" t="s">
        <v>124</v>
      </c>
      <c r="C18" s="59">
        <f>'Ann 2'!C4*100000</f>
        <v>1340000</v>
      </c>
      <c r="D18" s="59">
        <f>C21</f>
        <v>727500.23999999161</v>
      </c>
      <c r="E18" s="62">
        <f t="shared" ref="E18:K18" si="3">D21</f>
        <v>1301667.5399999914</v>
      </c>
      <c r="F18" s="62">
        <f t="shared" si="3"/>
        <v>1984984.4231999905</v>
      </c>
      <c r="G18" s="62">
        <f t="shared" si="3"/>
        <v>2771835.1374719907</v>
      </c>
      <c r="H18" s="62">
        <f t="shared" si="3"/>
        <v>3657236.7865603114</v>
      </c>
      <c r="I18" s="62">
        <f t="shared" si="3"/>
        <v>5160986.9927339312</v>
      </c>
      <c r="J18" s="62">
        <f t="shared" si="3"/>
        <v>6087636.5331754684</v>
      </c>
      <c r="K18" s="62">
        <f t="shared" si="3"/>
        <v>7009534.3926290907</v>
      </c>
    </row>
    <row r="19" spans="1:13" x14ac:dyDescent="0.6">
      <c r="A19" s="29"/>
      <c r="B19" s="30" t="s">
        <v>125</v>
      </c>
      <c r="C19" s="59">
        <f>'Ann 4'!C36</f>
        <v>-612499.76000000839</v>
      </c>
      <c r="D19" s="59">
        <f>'Ann 4'!D36</f>
        <v>574167.29999999981</v>
      </c>
      <c r="E19" s="62">
        <f>'Ann 4'!E36</f>
        <v>683316.88319999911</v>
      </c>
      <c r="F19" s="62">
        <f>'Ann 4'!F36</f>
        <v>786850.7142719999</v>
      </c>
      <c r="G19" s="62">
        <f>'Ann 4'!G36</f>
        <v>885401.64908832079</v>
      </c>
      <c r="H19" s="62">
        <f>'Ann 4'!H36</f>
        <v>1503750.2061736202</v>
      </c>
      <c r="I19" s="62">
        <f>'Ann 4'!I36</f>
        <v>926649.54044153728</v>
      </c>
      <c r="J19" s="62">
        <f>'Ann 4'!J36</f>
        <v>921897.85945362225</v>
      </c>
      <c r="K19" s="62">
        <f>'Ann 4'!K36</f>
        <v>913899.30106085446</v>
      </c>
    </row>
    <row r="20" spans="1:13" x14ac:dyDescent="0.6">
      <c r="A20" s="29"/>
      <c r="B20" s="30" t="s">
        <v>126</v>
      </c>
      <c r="C20" s="59">
        <v>0</v>
      </c>
      <c r="D20" s="59">
        <v>0</v>
      </c>
      <c r="E20" s="62">
        <v>0</v>
      </c>
      <c r="F20" s="62">
        <v>0</v>
      </c>
      <c r="G20" s="62">
        <v>0</v>
      </c>
      <c r="H20" s="62">
        <v>0</v>
      </c>
      <c r="I20" s="62">
        <v>0</v>
      </c>
      <c r="J20" s="62">
        <v>0</v>
      </c>
      <c r="K20" s="62">
        <v>0</v>
      </c>
    </row>
    <row r="21" spans="1:13" x14ac:dyDescent="0.6">
      <c r="A21" s="29"/>
      <c r="B21" s="30" t="s">
        <v>127</v>
      </c>
      <c r="C21" s="59">
        <f>C18+C19</f>
        <v>727500.23999999161</v>
      </c>
      <c r="D21" s="59">
        <f t="shared" ref="D21:K21" si="4">D18+D19</f>
        <v>1301667.5399999914</v>
      </c>
      <c r="E21" s="62">
        <f t="shared" si="4"/>
        <v>1984984.4231999905</v>
      </c>
      <c r="F21" s="62">
        <f t="shared" si="4"/>
        <v>2771835.1374719907</v>
      </c>
      <c r="G21" s="62">
        <f t="shared" si="4"/>
        <v>3657236.7865603114</v>
      </c>
      <c r="H21" s="62">
        <f t="shared" si="4"/>
        <v>5160986.9927339312</v>
      </c>
      <c r="I21" s="62">
        <f t="shared" si="4"/>
        <v>6087636.5331754684</v>
      </c>
      <c r="J21" s="62">
        <f t="shared" si="4"/>
        <v>7009534.3926290907</v>
      </c>
      <c r="K21" s="62">
        <f t="shared" si="4"/>
        <v>7923433.6936899452</v>
      </c>
    </row>
    <row r="22" spans="1:13" x14ac:dyDescent="0.6">
      <c r="A22" s="29">
        <v>2</v>
      </c>
      <c r="B22" s="30" t="s">
        <v>128</v>
      </c>
      <c r="C22" s="59">
        <f>'Ann 13'!C14*100000</f>
        <v>10800000</v>
      </c>
      <c r="D22" s="59">
        <f>'Ann 13'!C18*100000</f>
        <v>9000000</v>
      </c>
      <c r="E22" s="59">
        <f>'Ann 13'!C22*100000</f>
        <v>7200000</v>
      </c>
      <c r="F22" s="59">
        <f>'Ann 13'!C26*100000</f>
        <v>5400000</v>
      </c>
      <c r="G22" s="62">
        <f>('Ann 13'!C29-'Ann 13'!D29)*100000</f>
        <v>3600000</v>
      </c>
      <c r="H22" s="62">
        <f>('Ann 13'!C33-'Ann 13'!D33)*100000</f>
        <v>0</v>
      </c>
      <c r="I22" s="62">
        <v>0</v>
      </c>
      <c r="J22" s="62">
        <v>0</v>
      </c>
      <c r="K22" s="62">
        <v>0</v>
      </c>
    </row>
    <row r="23" spans="1:13" x14ac:dyDescent="0.6">
      <c r="A23" s="29">
        <v>3</v>
      </c>
      <c r="B23" s="58" t="s">
        <v>161</v>
      </c>
      <c r="C23" s="59">
        <f>'Ann 1'!$C$25*100000</f>
        <v>360000</v>
      </c>
      <c r="D23" s="59">
        <f>'Ann 1'!$C$25*100000</f>
        <v>360000</v>
      </c>
      <c r="E23" s="59">
        <f>'Ann 1'!$C$25*100000</f>
        <v>360000</v>
      </c>
      <c r="F23" s="59">
        <f>'Ann 1'!$C$25*100000</f>
        <v>360000</v>
      </c>
      <c r="G23" s="59">
        <f>'Ann 1'!$C$25*100000</f>
        <v>360000</v>
      </c>
      <c r="H23" s="59">
        <f>'Ann 1'!$C$25*100000</f>
        <v>360000</v>
      </c>
      <c r="I23" s="59">
        <f>'Ann 1'!$C$25*100000</f>
        <v>360000</v>
      </c>
      <c r="J23" s="59">
        <f>'Ann 1'!$C$25*100000</f>
        <v>360000</v>
      </c>
      <c r="K23" s="59">
        <f>'Ann 1'!$C$25*100000</f>
        <v>360000</v>
      </c>
    </row>
    <row r="24" spans="1:13" x14ac:dyDescent="0.6">
      <c r="A24" s="29">
        <v>4</v>
      </c>
      <c r="B24" s="58" t="s">
        <v>156</v>
      </c>
      <c r="C24" s="59">
        <f>('Ann 4'!C10+'Ann 4'!C7)*90/300</f>
        <v>11339060.040000003</v>
      </c>
      <c r="D24" s="59">
        <f>('Ann 4'!D10+'Ann 4'!D7)*90/300</f>
        <v>12148992.900000002</v>
      </c>
      <c r="E24" s="59">
        <f>('Ann 4'!E10+'Ann 4'!E7)*90/300</f>
        <v>12958925.760000004</v>
      </c>
      <c r="F24" s="59">
        <f>('Ann 4'!F10+'Ann 4'!F7)*90/300</f>
        <v>13768858.620000001</v>
      </c>
      <c r="G24" s="59">
        <f>('Ann 4'!G10+'Ann 4'!G7)*90/300</f>
        <v>14578791.48</v>
      </c>
      <c r="H24" s="59">
        <f>('Ann 4'!H10+'Ann 4'!H7)*90/300</f>
        <v>15388724.34</v>
      </c>
      <c r="I24" s="59">
        <f>('Ann 4'!I10+'Ann 4'!I7)*90/300</f>
        <v>16198657.199999999</v>
      </c>
      <c r="J24" s="59">
        <f>('Ann 4'!J10+'Ann 4'!J7)*90/300</f>
        <v>16198657.199999999</v>
      </c>
      <c r="K24" s="59">
        <f>('Ann 4'!K10+'Ann 4'!K7)*90/300</f>
        <v>16198657.199999999</v>
      </c>
    </row>
    <row r="25" spans="1:13" x14ac:dyDescent="0.6">
      <c r="A25" s="29"/>
      <c r="B25" s="30" t="s">
        <v>129</v>
      </c>
      <c r="C25" s="56">
        <f t="shared" ref="C25:K25" si="5">SUM(C21:C24)</f>
        <v>23226560.279999994</v>
      </c>
      <c r="D25" s="56">
        <f t="shared" si="5"/>
        <v>22810660.439999994</v>
      </c>
      <c r="E25" s="56">
        <f t="shared" si="5"/>
        <v>22503910.183199994</v>
      </c>
      <c r="F25" s="56">
        <f t="shared" si="5"/>
        <v>22300693.757471994</v>
      </c>
      <c r="G25" s="56">
        <f t="shared" si="5"/>
        <v>22196028.266560312</v>
      </c>
      <c r="H25" s="56">
        <f t="shared" si="5"/>
        <v>20909711.332733929</v>
      </c>
      <c r="I25" s="56">
        <f t="shared" si="5"/>
        <v>22646293.733175468</v>
      </c>
      <c r="J25" s="56">
        <f t="shared" si="5"/>
        <v>23568191.59262909</v>
      </c>
      <c r="K25" s="56">
        <f t="shared" si="5"/>
        <v>24482090.893689945</v>
      </c>
    </row>
    <row r="26" spans="1:13" x14ac:dyDescent="0.6">
      <c r="A26" s="29"/>
      <c r="B26" s="30"/>
      <c r="C26" s="56"/>
      <c r="D26" s="56"/>
      <c r="E26" s="56"/>
      <c r="F26" s="56"/>
      <c r="G26" s="56"/>
      <c r="H26" s="56"/>
      <c r="I26" s="56"/>
      <c r="J26" s="56"/>
      <c r="K26" s="56"/>
      <c r="L26" s="63"/>
      <c r="M26" s="30"/>
    </row>
    <row r="27" spans="1:13" x14ac:dyDescent="0.6">
      <c r="A27" s="64"/>
      <c r="B27" s="65" t="s">
        <v>131</v>
      </c>
      <c r="C27" s="66"/>
      <c r="D27" s="66"/>
      <c r="E27" s="67"/>
      <c r="F27" s="67"/>
      <c r="G27" s="67"/>
      <c r="H27" s="67"/>
      <c r="I27" s="67"/>
      <c r="J27" s="67"/>
      <c r="K27" s="67"/>
    </row>
    <row r="28" spans="1:13" x14ac:dyDescent="0.6">
      <c r="A28" s="29"/>
      <c r="B28" s="30" t="s">
        <v>132</v>
      </c>
      <c r="C28" s="56">
        <f t="shared" ref="C28:K28" si="6">SUM(C12:C14)</f>
        <v>12076560.279999997</v>
      </c>
      <c r="D28" s="56">
        <f t="shared" si="6"/>
        <v>13243160.439999994</v>
      </c>
      <c r="E28" s="60">
        <f t="shared" si="6"/>
        <v>14290535.183199996</v>
      </c>
      <c r="F28" s="60">
        <f t="shared" si="6"/>
        <v>15246425.007471986</v>
      </c>
      <c r="G28" s="60">
        <f t="shared" si="6"/>
        <v>16134289.82906031</v>
      </c>
      <c r="H28" s="60">
        <f t="shared" si="6"/>
        <v>15698184.660858929</v>
      </c>
      <c r="I28" s="60">
        <f t="shared" si="6"/>
        <v>18163351.962081715</v>
      </c>
      <c r="J28" s="60">
        <f t="shared" si="6"/>
        <v>19709861.397199407</v>
      </c>
      <c r="K28" s="60">
        <f t="shared" si="6"/>
        <v>21159463.506574713</v>
      </c>
    </row>
    <row r="29" spans="1:13" x14ac:dyDescent="0.6">
      <c r="A29" s="29"/>
      <c r="B29" s="30" t="s">
        <v>133</v>
      </c>
      <c r="C29" s="56">
        <f>C24+C23</f>
        <v>11699060.040000003</v>
      </c>
      <c r="D29" s="56">
        <f t="shared" ref="D29:K29" si="7">D24+D23</f>
        <v>12508992.900000002</v>
      </c>
      <c r="E29" s="56">
        <f t="shared" si="7"/>
        <v>13318925.760000004</v>
      </c>
      <c r="F29" s="56">
        <f t="shared" si="7"/>
        <v>14128858.620000001</v>
      </c>
      <c r="G29" s="56">
        <f t="shared" si="7"/>
        <v>14938791.48</v>
      </c>
      <c r="H29" s="56">
        <f t="shared" si="7"/>
        <v>15748724.34</v>
      </c>
      <c r="I29" s="56">
        <f t="shared" si="7"/>
        <v>16558657.199999999</v>
      </c>
      <c r="J29" s="56">
        <f t="shared" si="7"/>
        <v>16558657.199999999</v>
      </c>
      <c r="K29" s="56">
        <f t="shared" si="7"/>
        <v>16558657.199999999</v>
      </c>
    </row>
    <row r="30" spans="1:13" x14ac:dyDescent="0.6">
      <c r="A30" s="29"/>
      <c r="B30" s="30" t="s">
        <v>137</v>
      </c>
      <c r="C30" s="12">
        <f>C28/C29</f>
        <v>1.032267570104717</v>
      </c>
      <c r="D30" s="12">
        <f>D28/D29</f>
        <v>1.0586911788877897</v>
      </c>
      <c r="E30" s="13">
        <f t="shared" ref="E30:K30" si="8">E28/E29</f>
        <v>1.0729495336717001</v>
      </c>
      <c r="F30" s="13">
        <f t="shared" si="8"/>
        <v>1.0790981364828736</v>
      </c>
      <c r="G30" s="13">
        <f t="shared" si="8"/>
        <v>1.0800264432809601</v>
      </c>
      <c r="H30" s="13">
        <f t="shared" si="8"/>
        <v>0.99679087156204105</v>
      </c>
      <c r="I30" s="13">
        <f t="shared" si="8"/>
        <v>1.096909715727536</v>
      </c>
      <c r="J30" s="13">
        <f t="shared" si="8"/>
        <v>1.1903055398235678</v>
      </c>
      <c r="K30" s="13">
        <f t="shared" si="8"/>
        <v>1.2778489977179257</v>
      </c>
    </row>
    <row r="31" spans="1:13" x14ac:dyDescent="0.6">
      <c r="A31" s="29"/>
      <c r="B31" s="58" t="s">
        <v>150</v>
      </c>
      <c r="C31" s="12"/>
      <c r="D31" s="12"/>
      <c r="E31" s="13"/>
      <c r="F31" s="13">
        <f>AVERAGE(C30:K30)</f>
        <v>1.0983208874732346</v>
      </c>
      <c r="G31" s="13"/>
      <c r="H31" s="13"/>
      <c r="I31" s="13"/>
      <c r="J31" s="13"/>
      <c r="K31" s="13"/>
    </row>
    <row r="32" spans="1:13" x14ac:dyDescent="0.6">
      <c r="A32" s="29"/>
      <c r="B32" s="30"/>
      <c r="C32" s="12"/>
      <c r="D32" s="12"/>
      <c r="E32" s="13"/>
      <c r="F32" s="13"/>
      <c r="G32" s="13"/>
      <c r="H32" s="13"/>
      <c r="I32" s="13"/>
      <c r="J32" s="13"/>
      <c r="K32" s="13"/>
    </row>
    <row r="33" spans="1:11" x14ac:dyDescent="0.6">
      <c r="A33" s="64"/>
      <c r="B33" s="65" t="s">
        <v>134</v>
      </c>
      <c r="C33" s="66"/>
      <c r="D33" s="66"/>
      <c r="E33" s="67"/>
      <c r="F33" s="67"/>
      <c r="G33" s="67"/>
      <c r="H33" s="67"/>
      <c r="I33" s="67"/>
      <c r="J33" s="67"/>
      <c r="K33" s="67"/>
    </row>
    <row r="34" spans="1:11" x14ac:dyDescent="0.6">
      <c r="A34" s="29"/>
      <c r="B34" s="30" t="s">
        <v>135</v>
      </c>
      <c r="C34" s="56">
        <f>C22+C23</f>
        <v>11160000</v>
      </c>
      <c r="D34" s="56">
        <f t="shared" ref="D34:K34" si="9">D22+D23</f>
        <v>9360000</v>
      </c>
      <c r="E34" s="56">
        <f t="shared" si="9"/>
        <v>7560000</v>
      </c>
      <c r="F34" s="56">
        <f t="shared" si="9"/>
        <v>5760000</v>
      </c>
      <c r="G34" s="56">
        <f t="shared" si="9"/>
        <v>3960000</v>
      </c>
      <c r="H34" s="56">
        <f t="shared" si="9"/>
        <v>360000</v>
      </c>
      <c r="I34" s="56">
        <f t="shared" si="9"/>
        <v>360000</v>
      </c>
      <c r="J34" s="56">
        <f t="shared" si="9"/>
        <v>360000</v>
      </c>
      <c r="K34" s="56">
        <f t="shared" si="9"/>
        <v>360000</v>
      </c>
    </row>
    <row r="35" spans="1:11" x14ac:dyDescent="0.6">
      <c r="A35" s="29"/>
      <c r="B35" s="30" t="s">
        <v>136</v>
      </c>
      <c r="C35" s="56">
        <f t="shared" ref="C35:K35" si="10">C21</f>
        <v>727500.23999999161</v>
      </c>
      <c r="D35" s="56">
        <f t="shared" si="10"/>
        <v>1301667.5399999914</v>
      </c>
      <c r="E35" s="60">
        <f t="shared" si="10"/>
        <v>1984984.4231999905</v>
      </c>
      <c r="F35" s="60">
        <f t="shared" si="10"/>
        <v>2771835.1374719907</v>
      </c>
      <c r="G35" s="60">
        <f t="shared" si="10"/>
        <v>3657236.7865603114</v>
      </c>
      <c r="H35" s="60">
        <f t="shared" si="10"/>
        <v>5160986.9927339312</v>
      </c>
      <c r="I35" s="60">
        <f t="shared" si="10"/>
        <v>6087636.5331754684</v>
      </c>
      <c r="J35" s="60">
        <f t="shared" si="10"/>
        <v>7009534.3926290907</v>
      </c>
      <c r="K35" s="60">
        <f t="shared" si="10"/>
        <v>7923433.6936899452</v>
      </c>
    </row>
    <row r="36" spans="1:11" x14ac:dyDescent="0.6">
      <c r="A36" s="29"/>
      <c r="B36" s="30" t="s">
        <v>137</v>
      </c>
      <c r="C36" s="12">
        <f>C34/C35</f>
        <v>15.340201124882281</v>
      </c>
      <c r="D36" s="12">
        <f t="shared" ref="D36:K36" si="11">D34/D35</f>
        <v>7.1907762253947434</v>
      </c>
      <c r="E36" s="13">
        <f t="shared" si="11"/>
        <v>3.8085941187450403</v>
      </c>
      <c r="F36" s="13">
        <f t="shared" si="11"/>
        <v>2.0780456680599406</v>
      </c>
      <c r="G36" s="13">
        <f t="shared" si="11"/>
        <v>1.0827846899474185</v>
      </c>
      <c r="H36" s="13">
        <f t="shared" si="11"/>
        <v>6.9754099459432492E-2</v>
      </c>
      <c r="I36" s="13">
        <f t="shared" si="11"/>
        <v>5.9136250667747192E-2</v>
      </c>
      <c r="J36" s="13">
        <f t="shared" si="11"/>
        <v>5.135861811000738E-2</v>
      </c>
      <c r="K36" s="13">
        <f t="shared" si="11"/>
        <v>4.5434847304483203E-2</v>
      </c>
    </row>
    <row r="37" spans="1:11" x14ac:dyDescent="0.6">
      <c r="A37" s="29"/>
      <c r="B37" s="58" t="s">
        <v>150</v>
      </c>
      <c r="C37" s="12"/>
      <c r="D37" s="12"/>
      <c r="E37" s="13"/>
      <c r="F37" s="13">
        <f>AVERAGE(C36:K36)</f>
        <v>3.3028984047301218</v>
      </c>
      <c r="G37" s="13"/>
      <c r="H37" s="13"/>
      <c r="I37" s="60"/>
      <c r="J37" s="60"/>
      <c r="K37" s="60"/>
    </row>
    <row r="38" spans="1:11" x14ac:dyDescent="0.6">
      <c r="A38" s="29"/>
      <c r="B38" s="30"/>
      <c r="C38" s="12"/>
      <c r="D38" s="12"/>
      <c r="E38" s="13"/>
      <c r="F38" s="13"/>
      <c r="G38" s="13"/>
      <c r="H38" s="13"/>
      <c r="I38" s="60"/>
      <c r="J38" s="60"/>
      <c r="K38" s="60"/>
    </row>
    <row r="39" spans="1:11" x14ac:dyDescent="0.6">
      <c r="A39" s="64"/>
      <c r="B39" s="65" t="s">
        <v>151</v>
      </c>
      <c r="C39" s="66"/>
      <c r="D39" s="66"/>
      <c r="E39" s="67"/>
      <c r="F39" s="67"/>
      <c r="G39" s="67"/>
      <c r="H39" s="67"/>
      <c r="I39" s="68"/>
      <c r="J39" s="68"/>
      <c r="K39" s="68"/>
    </row>
    <row r="40" spans="1:11" x14ac:dyDescent="0.6">
      <c r="A40" s="29"/>
      <c r="B40" s="58" t="s">
        <v>152</v>
      </c>
      <c r="C40" s="56">
        <f t="shared" ref="C40:K40" si="12">C11</f>
        <v>11150000</v>
      </c>
      <c r="D40" s="56">
        <f t="shared" si="12"/>
        <v>9567500</v>
      </c>
      <c r="E40" s="56">
        <f t="shared" si="12"/>
        <v>8213375</v>
      </c>
      <c r="F40" s="56">
        <f t="shared" si="12"/>
        <v>7054268.75</v>
      </c>
      <c r="G40" s="56">
        <f t="shared" si="12"/>
        <v>6061738.4375</v>
      </c>
      <c r="H40" s="56">
        <f t="shared" si="12"/>
        <v>5211526.671875</v>
      </c>
      <c r="I40" s="56">
        <f t="shared" si="12"/>
        <v>4482941.7710937504</v>
      </c>
      <c r="J40" s="56">
        <f t="shared" si="12"/>
        <v>3858330.1954296879</v>
      </c>
      <c r="K40" s="56">
        <f t="shared" si="12"/>
        <v>3322627.3871152345</v>
      </c>
    </row>
    <row r="41" spans="1:11" x14ac:dyDescent="0.6">
      <c r="A41" s="29"/>
      <c r="B41" s="58" t="s">
        <v>135</v>
      </c>
      <c r="C41" s="56">
        <f t="shared" ref="C41:K41" si="13">C22+C23</f>
        <v>11160000</v>
      </c>
      <c r="D41" s="56">
        <f t="shared" si="13"/>
        <v>9360000</v>
      </c>
      <c r="E41" s="56">
        <f t="shared" si="13"/>
        <v>7560000</v>
      </c>
      <c r="F41" s="56">
        <f t="shared" si="13"/>
        <v>5760000</v>
      </c>
      <c r="G41" s="56">
        <f t="shared" si="13"/>
        <v>3960000</v>
      </c>
      <c r="H41" s="56">
        <f t="shared" si="13"/>
        <v>360000</v>
      </c>
      <c r="I41" s="56">
        <f t="shared" si="13"/>
        <v>360000</v>
      </c>
      <c r="J41" s="56">
        <f t="shared" si="13"/>
        <v>360000</v>
      </c>
      <c r="K41" s="56">
        <f t="shared" si="13"/>
        <v>360000</v>
      </c>
    </row>
    <row r="42" spans="1:11" x14ac:dyDescent="0.6">
      <c r="A42" s="29"/>
      <c r="B42" s="58" t="s">
        <v>146</v>
      </c>
      <c r="C42" s="12">
        <f>C40/C41</f>
        <v>0.99910394265232971</v>
      </c>
      <c r="D42" s="12">
        <f t="shared" ref="D42:G42" si="14">D40/D41</f>
        <v>1.0221688034188035</v>
      </c>
      <c r="E42" s="12">
        <f t="shared" si="14"/>
        <v>1.0864252645502646</v>
      </c>
      <c r="F42" s="12">
        <f t="shared" si="14"/>
        <v>1.224699435763889</v>
      </c>
      <c r="G42" s="12">
        <f t="shared" si="14"/>
        <v>1.5307420296717171</v>
      </c>
      <c r="H42" s="56">
        <v>0</v>
      </c>
      <c r="I42" s="56">
        <v>0</v>
      </c>
      <c r="J42" s="56">
        <v>0</v>
      </c>
      <c r="K42" s="56">
        <v>0</v>
      </c>
    </row>
    <row r="43" spans="1:11" x14ac:dyDescent="0.6">
      <c r="A43" s="29"/>
      <c r="B43" s="58"/>
      <c r="C43" s="12"/>
      <c r="D43" s="12"/>
      <c r="E43" s="13"/>
      <c r="F43" s="13">
        <f>AVERAGE(C42:K42)</f>
        <v>0.6514599417841116</v>
      </c>
      <c r="G43" s="13"/>
      <c r="H43" s="13"/>
      <c r="I43" s="13"/>
      <c r="J43" s="13"/>
      <c r="K43" s="13"/>
    </row>
    <row r="44" spans="1:11" x14ac:dyDescent="0.6">
      <c r="A44" s="29"/>
      <c r="B44" s="30"/>
      <c r="C44" s="12"/>
      <c r="D44" s="12"/>
      <c r="E44" s="13"/>
      <c r="F44" s="13"/>
      <c r="G44" s="13"/>
      <c r="H44" s="13"/>
      <c r="I44" s="60"/>
      <c r="J44" s="60"/>
      <c r="K44" s="60"/>
    </row>
    <row r="45" spans="1:11" x14ac:dyDescent="0.6">
      <c r="A45" s="64"/>
      <c r="B45" s="65" t="s">
        <v>143</v>
      </c>
      <c r="C45" s="66"/>
      <c r="D45" s="66"/>
      <c r="E45" s="67"/>
      <c r="F45" s="67"/>
      <c r="G45" s="67"/>
      <c r="H45" s="67"/>
      <c r="I45" s="68"/>
      <c r="J45" s="68"/>
      <c r="K45" s="68"/>
    </row>
    <row r="46" spans="1:11" x14ac:dyDescent="0.6">
      <c r="A46" s="29"/>
      <c r="B46" s="30" t="s">
        <v>144</v>
      </c>
      <c r="C46" s="59">
        <f>'Ann 4'!C26</f>
        <v>731250</v>
      </c>
      <c r="D46" s="59">
        <f>'Ann 4'!D26</f>
        <v>643499.99999999988</v>
      </c>
      <c r="E46" s="59">
        <f>'Ann 4'!E26</f>
        <v>535500</v>
      </c>
      <c r="F46" s="59">
        <f>'Ann 4'!F26</f>
        <v>427500</v>
      </c>
      <c r="G46" s="59">
        <f>'Ann 4'!G26</f>
        <v>319499.99999999994</v>
      </c>
      <c r="H46" s="59">
        <f>'Ann 4'!H26</f>
        <v>90000</v>
      </c>
      <c r="I46" s="59">
        <f>'Ann 4'!I26</f>
        <v>36000</v>
      </c>
      <c r="J46" s="59">
        <f>'Ann 4'!J26</f>
        <v>36000</v>
      </c>
      <c r="K46" s="59">
        <f>'Ann 4'!K26</f>
        <v>36000</v>
      </c>
    </row>
    <row r="47" spans="1:11" x14ac:dyDescent="0.6">
      <c r="A47" s="29"/>
      <c r="B47" s="30" t="s">
        <v>147</v>
      </c>
      <c r="C47" s="59">
        <f>(SUM('Ann 13'!D10:D13)*100000)+('Ann 1'!$C$25*100000)</f>
        <v>1260000</v>
      </c>
      <c r="D47" s="59">
        <f>(SUM('Ann 13'!D14:D17)*100000)+('Ann 1'!$C$25*100000)</f>
        <v>2160000</v>
      </c>
      <c r="E47" s="59">
        <f>(SUM('Ann 13'!D18:D21)*100000)+('Ann 1'!$C$25*100000)</f>
        <v>2160000</v>
      </c>
      <c r="F47" s="59">
        <f>(SUM('Ann 13'!D22:D25)*100000)+('Ann 1'!$C$25*100000)</f>
        <v>2160000</v>
      </c>
      <c r="G47" s="59">
        <f>(SUM('Ann 13'!D26:D29)*100000)+('Ann 1'!$C$25*100000)</f>
        <v>2160000</v>
      </c>
      <c r="H47" s="59">
        <f>(SUM('Ann 13'!D30:D33)*100000)+('Ann 1'!$C$25*100000)</f>
        <v>700000</v>
      </c>
      <c r="I47" s="59">
        <f>(SUM('Ann 13'!D34:D37)*100000)+('Ann 1'!$C$25*100000)</f>
        <v>360000</v>
      </c>
      <c r="J47" s="59">
        <f>(SUM('Ann 13'!D38:D38)*100000)+('Ann 1'!$C$25*100000)</f>
        <v>360000</v>
      </c>
      <c r="K47" s="59">
        <f>(SUM('Ann 13'!D39:D40)*100000)+('Ann 1'!$C$25*100000)</f>
        <v>360000</v>
      </c>
    </row>
    <row r="48" spans="1:11" x14ac:dyDescent="0.6">
      <c r="A48" s="29"/>
      <c r="B48" s="30" t="s">
        <v>8</v>
      </c>
      <c r="C48" s="59">
        <f>SUM(C46:C47)</f>
        <v>1991250</v>
      </c>
      <c r="D48" s="59">
        <f t="shared" ref="D48:K48" si="15">SUM(D46:D47)</f>
        <v>2803500</v>
      </c>
      <c r="E48" s="62">
        <f t="shared" si="15"/>
        <v>2695500</v>
      </c>
      <c r="F48" s="62">
        <f t="shared" si="15"/>
        <v>2587500</v>
      </c>
      <c r="G48" s="62">
        <f t="shared" si="15"/>
        <v>2479500</v>
      </c>
      <c r="H48" s="62">
        <f t="shared" si="15"/>
        <v>790000</v>
      </c>
      <c r="I48" s="62">
        <f t="shared" si="15"/>
        <v>396000</v>
      </c>
      <c r="J48" s="62">
        <f t="shared" si="15"/>
        <v>396000</v>
      </c>
      <c r="K48" s="62">
        <f t="shared" si="15"/>
        <v>396000</v>
      </c>
    </row>
    <row r="49" spans="1:11" x14ac:dyDescent="0.6">
      <c r="A49" s="29"/>
      <c r="B49" s="30" t="s">
        <v>145</v>
      </c>
      <c r="C49" s="59">
        <f>'Ann 4'!C21</f>
        <v>1763393.1999999881</v>
      </c>
      <c r="D49" s="59">
        <f>'Ann 4'!D21</f>
        <v>6327195</v>
      </c>
      <c r="E49" s="62">
        <f>'Ann 4'!E21</f>
        <v>6770459.8799999952</v>
      </c>
      <c r="F49" s="62">
        <f>'Ann 4'!F21</f>
        <v>7206968.4948000014</v>
      </c>
      <c r="G49" s="62">
        <f>'Ann 4'!G21</f>
        <v>7636327.8059880063</v>
      </c>
      <c r="H49" s="62">
        <f>'Ann 4'!H21</f>
        <v>7024141.8097222894</v>
      </c>
      <c r="I49" s="62">
        <f>'Ann 4'!I21</f>
        <v>7383510.1896493733</v>
      </c>
      <c r="J49" s="62">
        <f>'Ann 4'!J21</f>
        <v>7245596.2860470787</v>
      </c>
      <c r="K49" s="62">
        <f>'Ann 4'!K21</f>
        <v>7099554.9587491304</v>
      </c>
    </row>
    <row r="50" spans="1:11" x14ac:dyDescent="0.6">
      <c r="A50" s="69"/>
      <c r="B50" s="70" t="s">
        <v>146</v>
      </c>
      <c r="C50" s="71">
        <f>C49/C48</f>
        <v>0.88557097300689924</v>
      </c>
      <c r="D50" s="71">
        <f t="shared" ref="D50:H50" si="16">D49/D48</f>
        <v>2.2568913857677901</v>
      </c>
      <c r="E50" s="72">
        <f t="shared" si="16"/>
        <v>2.5117640066777946</v>
      </c>
      <c r="F50" s="72">
        <f t="shared" si="16"/>
        <v>2.7853018337391311</v>
      </c>
      <c r="G50" s="72">
        <f t="shared" si="16"/>
        <v>3.0797853623666085</v>
      </c>
      <c r="H50" s="72">
        <f t="shared" si="16"/>
        <v>8.8913187464839112</v>
      </c>
      <c r="I50" s="73">
        <v>0</v>
      </c>
      <c r="J50" s="73">
        <v>0</v>
      </c>
      <c r="K50" s="73">
        <v>0</v>
      </c>
    </row>
    <row r="51" spans="1:11" x14ac:dyDescent="0.6">
      <c r="A51" s="30"/>
      <c r="B51" s="58" t="s">
        <v>150</v>
      </c>
      <c r="C51" s="30"/>
      <c r="D51" s="30"/>
      <c r="E51" s="30"/>
      <c r="F51" s="30">
        <f>AVERAGE(C50:G50)</f>
        <v>2.3038627123116449</v>
      </c>
      <c r="G51" s="30"/>
      <c r="H51" s="30"/>
      <c r="I51" s="30"/>
      <c r="J51" s="30"/>
      <c r="K51" s="30"/>
    </row>
    <row r="52" spans="1:11" x14ac:dyDescent="0.6">
      <c r="I52" s="51"/>
      <c r="J52" s="51"/>
      <c r="K52" s="51"/>
    </row>
    <row r="54" spans="1:11" x14ac:dyDescent="0.6">
      <c r="A54" s="6" t="s">
        <v>267</v>
      </c>
    </row>
    <row r="55" spans="1:11" x14ac:dyDescent="0.6">
      <c r="A55" s="6" t="s">
        <v>276</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220</v>
      </c>
    </row>
    <row r="3" spans="1:3" x14ac:dyDescent="0.35">
      <c r="A3" s="1" t="s">
        <v>223</v>
      </c>
    </row>
    <row r="5" spans="1:3" x14ac:dyDescent="0.35">
      <c r="A5" s="2" t="s">
        <v>221</v>
      </c>
    </row>
    <row r="6" spans="1:3" x14ac:dyDescent="0.35">
      <c r="A6" s="3" t="s">
        <v>229</v>
      </c>
    </row>
    <row r="7" spans="1:3" x14ac:dyDescent="0.35">
      <c r="A7" t="s">
        <v>222</v>
      </c>
      <c r="B7">
        <v>5</v>
      </c>
      <c r="C7" t="s">
        <v>226</v>
      </c>
    </row>
    <row r="8" spans="1:3" x14ac:dyDescent="0.35">
      <c r="A8" t="s">
        <v>224</v>
      </c>
      <c r="B8">
        <v>30</v>
      </c>
      <c r="C8" t="s">
        <v>227</v>
      </c>
    </row>
    <row r="9" spans="1:3" x14ac:dyDescent="0.35">
      <c r="A9" t="s">
        <v>225</v>
      </c>
      <c r="B9">
        <f>B8*3000*20/B7</f>
        <v>360000</v>
      </c>
      <c r="C9" t="s">
        <v>228</v>
      </c>
    </row>
    <row r="11" spans="1:3" x14ac:dyDescent="0.35">
      <c r="A11" s="3" t="s">
        <v>230</v>
      </c>
    </row>
    <row r="12" spans="1:3" x14ac:dyDescent="0.35">
      <c r="A12" s="3" t="s">
        <v>222</v>
      </c>
      <c r="B12">
        <v>0.5</v>
      </c>
      <c r="C12" t="s">
        <v>231</v>
      </c>
    </row>
    <row r="13" spans="1:3" x14ac:dyDescent="0.35">
      <c r="A13" s="3" t="s">
        <v>232</v>
      </c>
      <c r="B13">
        <f>B12*3000*30</f>
        <v>45000</v>
      </c>
      <c r="C13" t="s">
        <v>233</v>
      </c>
    </row>
    <row r="15" spans="1:3" x14ac:dyDescent="0.35">
      <c r="A15" t="s">
        <v>234</v>
      </c>
      <c r="B15">
        <f>B13+B9</f>
        <v>405000</v>
      </c>
    </row>
    <row r="16" spans="1:3" x14ac:dyDescent="0.35">
      <c r="A16" t="s">
        <v>235</v>
      </c>
      <c r="B16">
        <v>75</v>
      </c>
    </row>
    <row r="17" spans="1:2" x14ac:dyDescent="0.35">
      <c r="A17" t="s">
        <v>236</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E7" sqref="E7"/>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154</v>
      </c>
    </row>
    <row r="3" spans="1:5" x14ac:dyDescent="0.6">
      <c r="A3" s="74" t="s">
        <v>155</v>
      </c>
    </row>
    <row r="5" spans="1:5" x14ac:dyDescent="0.6">
      <c r="A5" s="27" t="s">
        <v>52</v>
      </c>
      <c r="B5" s="27" t="s">
        <v>53</v>
      </c>
      <c r="C5" s="27" t="s">
        <v>54</v>
      </c>
      <c r="D5" s="27" t="s">
        <v>55</v>
      </c>
      <c r="E5" s="27" t="s">
        <v>217</v>
      </c>
    </row>
    <row r="6" spans="1:5" x14ac:dyDescent="0.6">
      <c r="A6" s="75" t="s">
        <v>56</v>
      </c>
      <c r="B6" s="7" t="s">
        <v>249</v>
      </c>
      <c r="C6" s="7">
        <v>1</v>
      </c>
      <c r="D6" s="76">
        <v>18000</v>
      </c>
      <c r="E6" s="76">
        <f>D6*C6*12</f>
        <v>216000</v>
      </c>
    </row>
    <row r="7" spans="1:5" x14ac:dyDescent="0.6">
      <c r="A7" s="7" t="s">
        <v>57</v>
      </c>
      <c r="B7" s="7" t="s">
        <v>250</v>
      </c>
      <c r="C7" s="7">
        <v>3</v>
      </c>
      <c r="D7" s="76">
        <v>9500</v>
      </c>
      <c r="E7" s="76">
        <f>D7*C7*12</f>
        <v>342000</v>
      </c>
    </row>
    <row r="8" spans="1:5" s="30" customFormat="1" x14ac:dyDescent="0.6">
      <c r="A8" s="7" t="s">
        <v>60</v>
      </c>
      <c r="B8" s="7" t="s">
        <v>251</v>
      </c>
      <c r="C8" s="7">
        <v>3</v>
      </c>
      <c r="D8" s="76">
        <v>12000</v>
      </c>
      <c r="E8" s="76">
        <f>D8*C8*12</f>
        <v>432000</v>
      </c>
    </row>
    <row r="9" spans="1:5" s="30" customFormat="1" x14ac:dyDescent="0.6">
      <c r="A9" s="7" t="s">
        <v>303</v>
      </c>
      <c r="B9" s="7" t="s">
        <v>304</v>
      </c>
      <c r="C9" s="7">
        <v>2</v>
      </c>
      <c r="D9" s="76">
        <v>9000</v>
      </c>
      <c r="E9" s="76">
        <f>D9*C9*12</f>
        <v>216000</v>
      </c>
    </row>
    <row r="10" spans="1:5" x14ac:dyDescent="0.6">
      <c r="A10" s="141" t="s">
        <v>8</v>
      </c>
      <c r="B10" s="141"/>
      <c r="C10" s="141"/>
      <c r="D10" s="141"/>
      <c r="E10" s="77">
        <f>SUM(E6:E9)</f>
        <v>1206000</v>
      </c>
    </row>
    <row r="11" spans="1:5" x14ac:dyDescent="0.6">
      <c r="A11" s="36"/>
      <c r="B11" s="78"/>
      <c r="C11" s="78"/>
      <c r="D11" s="78"/>
      <c r="E11" s="55"/>
    </row>
    <row r="12" spans="1:5" x14ac:dyDescent="0.6">
      <c r="A12" s="69" t="s">
        <v>281</v>
      </c>
      <c r="B12" s="70"/>
      <c r="C12" s="70"/>
      <c r="D12" s="70"/>
      <c r="E12" s="79">
        <f>E10*20%</f>
        <v>241200</v>
      </c>
    </row>
    <row r="13" spans="1:5" x14ac:dyDescent="0.6">
      <c r="A13" s="33" t="s">
        <v>8</v>
      </c>
      <c r="B13" s="34"/>
      <c r="C13" s="34"/>
      <c r="D13" s="34"/>
      <c r="E13" s="80">
        <f>SUM(E10:E12)</f>
        <v>1447200</v>
      </c>
    </row>
    <row r="15" spans="1:5" x14ac:dyDescent="0.6">
      <c r="A15" s="6" t="s">
        <v>58</v>
      </c>
      <c r="E15" s="51">
        <f>E13</f>
        <v>1447200</v>
      </c>
    </row>
    <row r="16" spans="1:5" x14ac:dyDescent="0.6">
      <c r="A16" s="6" t="s">
        <v>59</v>
      </c>
      <c r="E16" s="81">
        <v>0.06</v>
      </c>
    </row>
    <row r="17" spans="1:5" x14ac:dyDescent="0.6">
      <c r="A17" s="6" t="s">
        <v>157</v>
      </c>
      <c r="E17" s="6">
        <f>SUM(C6:C8)</f>
        <v>7</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C6" sqref="C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74" t="s">
        <v>61</v>
      </c>
    </row>
    <row r="5" spans="1:6" x14ac:dyDescent="0.6">
      <c r="A5" s="27" t="s">
        <v>24</v>
      </c>
      <c r="B5" s="27" t="s">
        <v>3</v>
      </c>
      <c r="C5" s="27" t="s">
        <v>65</v>
      </c>
      <c r="D5" s="27" t="s">
        <v>11</v>
      </c>
      <c r="E5" s="27" t="s">
        <v>66</v>
      </c>
      <c r="F5" s="27" t="s">
        <v>67</v>
      </c>
    </row>
    <row r="6" spans="1:6" x14ac:dyDescent="0.6">
      <c r="A6" s="7" t="s">
        <v>56</v>
      </c>
      <c r="B6" s="7" t="s">
        <v>13</v>
      </c>
      <c r="C6" s="76">
        <f>'Ann 1'!C15*100000</f>
        <v>1800000</v>
      </c>
      <c r="D6" s="76">
        <f>('Ann 1'!C20+'Ann 1'!C37)*100000</f>
        <v>11000000</v>
      </c>
      <c r="E6" s="76">
        <f>'Ann 3'!E19</f>
        <v>200000</v>
      </c>
      <c r="F6" s="82">
        <f>SUM(C6:E6)/100000</f>
        <v>130</v>
      </c>
    </row>
    <row r="7" spans="1:6" x14ac:dyDescent="0.6">
      <c r="A7" s="7" t="s">
        <v>57</v>
      </c>
      <c r="B7" s="7" t="s">
        <v>63</v>
      </c>
      <c r="C7" s="76">
        <v>0</v>
      </c>
      <c r="D7" s="76">
        <v>0</v>
      </c>
      <c r="E7" s="76">
        <v>0</v>
      </c>
      <c r="F7" s="83">
        <f>SUM(C7:E7)/100000</f>
        <v>0</v>
      </c>
    </row>
    <row r="8" spans="1:6" x14ac:dyDescent="0.6">
      <c r="A8" s="7" t="s">
        <v>60</v>
      </c>
      <c r="B8" s="7" t="s">
        <v>64</v>
      </c>
      <c r="C8" s="76">
        <v>0</v>
      </c>
      <c r="D8" s="76">
        <v>0</v>
      </c>
      <c r="E8" s="76">
        <f>'Ann 1'!C39*100000</f>
        <v>0</v>
      </c>
      <c r="F8" s="83">
        <f>SUM(C8:E8)/100000</f>
        <v>0</v>
      </c>
    </row>
    <row r="9" spans="1:6" x14ac:dyDescent="0.6">
      <c r="A9" s="7"/>
      <c r="B9" s="141" t="s">
        <v>8</v>
      </c>
      <c r="C9" s="141"/>
      <c r="D9" s="141"/>
      <c r="E9" s="141"/>
      <c r="F9" s="82">
        <f>SUM(F6:F8)</f>
        <v>130</v>
      </c>
    </row>
    <row r="11" spans="1:6" x14ac:dyDescent="0.6">
      <c r="A11" s="7"/>
      <c r="B11" s="7" t="s">
        <v>68</v>
      </c>
      <c r="C11" s="84">
        <v>0.1</v>
      </c>
      <c r="D11" s="84">
        <v>0.15</v>
      </c>
      <c r="E11" s="84">
        <v>0.1</v>
      </c>
      <c r="F11" s="7" t="s">
        <v>172</v>
      </c>
    </row>
    <row r="12" spans="1:6" x14ac:dyDescent="0.6">
      <c r="A12" s="85" t="s">
        <v>69</v>
      </c>
      <c r="B12" s="86">
        <v>1</v>
      </c>
      <c r="C12" s="87">
        <f>C11*C6</f>
        <v>180000</v>
      </c>
      <c r="D12" s="87">
        <f>D11*D6</f>
        <v>1650000</v>
      </c>
      <c r="E12" s="87">
        <f>E11*(E6+E8)</f>
        <v>20000</v>
      </c>
      <c r="F12" s="87">
        <f>SUM(C12:E12)</f>
        <v>1850000</v>
      </c>
    </row>
    <row r="13" spans="1:6" x14ac:dyDescent="0.6">
      <c r="A13" s="85" t="s">
        <v>69</v>
      </c>
      <c r="B13" s="86">
        <v>2</v>
      </c>
      <c r="C13" s="87">
        <f>(C6-C12)*C11</f>
        <v>162000</v>
      </c>
      <c r="D13" s="87">
        <f>(D6-D12)*D11</f>
        <v>1402500</v>
      </c>
      <c r="E13" s="87">
        <f>(E6+E8-E12)*E11</f>
        <v>18000</v>
      </c>
      <c r="F13" s="87">
        <f>SUM(C13:E13)</f>
        <v>1582500</v>
      </c>
    </row>
    <row r="14" spans="1:6" x14ac:dyDescent="0.6">
      <c r="A14" s="85" t="s">
        <v>69</v>
      </c>
      <c r="B14" s="86">
        <v>3</v>
      </c>
      <c r="C14" s="87">
        <f>(C6-C12-C13)*C11</f>
        <v>145800</v>
      </c>
      <c r="D14" s="87">
        <f>(D6-D12-D13)*D11</f>
        <v>1192125</v>
      </c>
      <c r="E14" s="87">
        <f>(E6+E8-E12-E13)*E11</f>
        <v>16200</v>
      </c>
      <c r="F14" s="87">
        <f t="shared" ref="F14:F20" si="0">SUM(C14:E14)</f>
        <v>1354125</v>
      </c>
    </row>
    <row r="15" spans="1:6" x14ac:dyDescent="0.6">
      <c r="A15" s="85" t="s">
        <v>69</v>
      </c>
      <c r="B15" s="86">
        <v>4</v>
      </c>
      <c r="C15" s="87">
        <f>(C6-C12-C13-C14)*C11</f>
        <v>131220</v>
      </c>
      <c r="D15" s="87">
        <f>(D6-D12-D13-D14)*D11</f>
        <v>1013306.25</v>
      </c>
      <c r="E15" s="87">
        <f>(E6+E8-E12-E13-E14)*E11</f>
        <v>14580</v>
      </c>
      <c r="F15" s="87">
        <f t="shared" si="0"/>
        <v>1159106.25</v>
      </c>
    </row>
    <row r="16" spans="1:6" x14ac:dyDescent="0.6">
      <c r="A16" s="85" t="s">
        <v>69</v>
      </c>
      <c r="B16" s="86">
        <v>5</v>
      </c>
      <c r="C16" s="87">
        <f>(C6-C12-C13-C14-C15)*C11</f>
        <v>118098</v>
      </c>
      <c r="D16" s="87">
        <f>(D6-D12-D13-D14-D15)*D11</f>
        <v>861310.3125</v>
      </c>
      <c r="E16" s="87">
        <f>(E6+E8-E12-E13-E14-E15)*E11</f>
        <v>13122</v>
      </c>
      <c r="F16" s="87">
        <f t="shared" si="0"/>
        <v>992530.3125</v>
      </c>
    </row>
    <row r="17" spans="1:6" x14ac:dyDescent="0.6">
      <c r="A17" s="85" t="s">
        <v>69</v>
      </c>
      <c r="B17" s="86">
        <v>6</v>
      </c>
      <c r="C17" s="87">
        <f>(C6-C12-C13-C14-C15-C16)*C11</f>
        <v>106288.20000000001</v>
      </c>
      <c r="D17" s="87">
        <f>(D6-D12-D13-D14-D15-D16)*D11</f>
        <v>732113.765625</v>
      </c>
      <c r="E17" s="87">
        <f>(E6+E8-E12-E13-E14-E15-E16)*E11</f>
        <v>11809.800000000001</v>
      </c>
      <c r="F17" s="87">
        <f t="shared" si="0"/>
        <v>850211.765625</v>
      </c>
    </row>
    <row r="18" spans="1:6" x14ac:dyDescent="0.6">
      <c r="A18" s="85" t="s">
        <v>69</v>
      </c>
      <c r="B18" s="86">
        <v>7</v>
      </c>
      <c r="C18" s="87">
        <f>(C6-C12-C13-C14-C15-C16-C17)*C11</f>
        <v>95659.38</v>
      </c>
      <c r="D18" s="87">
        <f>(D6-D12-D13-D14-D15-D16-D17)*D11</f>
        <v>622296.70078125002</v>
      </c>
      <c r="E18" s="87">
        <f>(E6+E8-E12-E13-E14-E15-E16-E17)*E11</f>
        <v>10628.82</v>
      </c>
      <c r="F18" s="87">
        <f t="shared" si="0"/>
        <v>728584.90078124998</v>
      </c>
    </row>
    <row r="19" spans="1:6" x14ac:dyDescent="0.6">
      <c r="A19" s="85" t="s">
        <v>69</v>
      </c>
      <c r="B19" s="86">
        <v>8</v>
      </c>
      <c r="C19" s="87">
        <f>(C6-C12-C13-C14-C15-C16-C17-C18)*C11</f>
        <v>86093.44200000001</v>
      </c>
      <c r="D19" s="87">
        <f>(D6-D12-D13-D14-D15-D16-D17-D18)*D11</f>
        <v>528952.19566406251</v>
      </c>
      <c r="E19" s="87">
        <f>(E6+E8-E12-E13-E14-E15-E16-E17-E18)*E11</f>
        <v>9565.9380000000001</v>
      </c>
      <c r="F19" s="87">
        <f t="shared" si="0"/>
        <v>624611.57566406252</v>
      </c>
    </row>
    <row r="20" spans="1:6" x14ac:dyDescent="0.6">
      <c r="A20" s="85" t="s">
        <v>69</v>
      </c>
      <c r="B20" s="86">
        <v>9</v>
      </c>
      <c r="C20" s="87">
        <f>(C6-C12-C13-C14-C15-C16-C17-C18-C19)*C11</f>
        <v>77484.097800000003</v>
      </c>
      <c r="D20" s="87">
        <f>(D6-D12-D13-D14-D15-D16-D17-D18-D19)*D11</f>
        <v>449609.36631445313</v>
      </c>
      <c r="E20" s="87">
        <f>(E6+E8-E12-E13-E14-E15-E16-E17-E18-E19)*E11</f>
        <v>8609.3442000000014</v>
      </c>
      <c r="F20" s="87">
        <f t="shared" si="0"/>
        <v>535702.80831445323</v>
      </c>
    </row>
    <row r="21" spans="1:6" x14ac:dyDescent="0.6">
      <c r="B21" s="23"/>
    </row>
    <row r="22" spans="1:6" x14ac:dyDescent="0.6">
      <c r="A22" s="88"/>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2021-08-11T10:20:05Z</cp:lastPrinted>
  <dcterms:created xsi:type="dcterms:W3CDTF">2021-07-04T07:21:16Z</dcterms:created>
  <dcterms:modified xsi:type="dcterms:W3CDTF">2021-08-11T10:20:46Z</dcterms:modified>
</cp:coreProperties>
</file>